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215\"/>
    </mc:Choice>
  </mc:AlternateContent>
  <xr:revisionPtr revIDLastSave="0" documentId="13_ncr:1_{CE5A7BF3-8BDF-465D-81B3-9A3F29E4CDA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temDesign_PartA" sheetId="4" r:id="rId1"/>
    <sheet name="StemDesign_Part B" sheetId="6" r:id="rId2"/>
    <sheet name="rebar table" sheetId="2" r:id="rId3"/>
    <sheet name="Calcs" sheetId="7" r:id="rId4"/>
  </sheets>
  <definedNames>
    <definedName name="Bs">StemDesign_PartA!$T$125</definedName>
    <definedName name="db">StemDesign_PartA!$W$86</definedName>
    <definedName name="_xlnm.Print_Area" localSheetId="1">'StemDesign_Part B'!$A$1:$K$49</definedName>
    <definedName name="_xlnm.Print_Area" localSheetId="0">StemDesign_PartA!$A$1:$K$192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7" i="4" l="1"/>
  <c r="F113" i="4"/>
  <c r="F112" i="4"/>
  <c r="F111" i="4"/>
  <c r="F44" i="4"/>
  <c r="F42" i="4"/>
  <c r="N13" i="4"/>
  <c r="R13" i="4" s="1"/>
  <c r="C62" i="7"/>
  <c r="R14" i="6" l="1"/>
  <c r="P28" i="4"/>
  <c r="R136" i="4" l="1"/>
  <c r="N30" i="4"/>
  <c r="B86" i="7"/>
  <c r="Y84" i="7"/>
  <c r="W84" i="7"/>
  <c r="O84" i="7"/>
  <c r="B83" i="7"/>
  <c r="AA83" i="7"/>
  <c r="Y83" i="7"/>
  <c r="X77" i="7"/>
  <c r="S75" i="7"/>
  <c r="Q75" i="7"/>
  <c r="O75" i="7"/>
  <c r="U28" i="6"/>
  <c r="Q28" i="6"/>
  <c r="AL21" i="6"/>
  <c r="AH21" i="6"/>
  <c r="AH11" i="6"/>
  <c r="N10" i="6"/>
  <c r="AJ10" i="6"/>
  <c r="P10" i="6"/>
  <c r="K15" i="6"/>
  <c r="N16" i="6" s="1"/>
  <c r="AJ21" i="6" s="1"/>
  <c r="T14" i="6"/>
  <c r="AH10" i="6"/>
  <c r="S178" i="4"/>
  <c r="E161" i="4"/>
  <c r="N166" i="4"/>
  <c r="O133" i="4"/>
  <c r="R132" i="4"/>
  <c r="P134" i="4"/>
  <c r="R125" i="4"/>
  <c r="K95" i="4"/>
  <c r="K57" i="4"/>
  <c r="P9" i="4"/>
  <c r="D7" i="7"/>
  <c r="R9" i="4" s="1"/>
  <c r="D10" i="7"/>
  <c r="Q34" i="4"/>
  <c r="Y124" i="4"/>
  <c r="S36" i="6"/>
  <c r="N63" i="4"/>
  <c r="S75" i="4"/>
  <c r="N22" i="4"/>
  <c r="R61" i="7"/>
  <c r="P61" i="7"/>
  <c r="N61" i="7"/>
  <c r="V59" i="7"/>
  <c r="R59" i="7"/>
  <c r="P59" i="7"/>
  <c r="N59" i="7"/>
  <c r="T48" i="7"/>
  <c r="R48" i="7"/>
  <c r="P48" i="7"/>
  <c r="N48" i="7"/>
  <c r="P40" i="7"/>
  <c r="N40" i="7"/>
  <c r="AB36" i="7"/>
  <c r="X36" i="7"/>
  <c r="V36" i="7"/>
  <c r="R36" i="7"/>
  <c r="P36" i="7"/>
  <c r="N36" i="7"/>
  <c r="Z36" i="7"/>
  <c r="AB33" i="7"/>
  <c r="Z33" i="7"/>
  <c r="X33" i="7"/>
  <c r="V33" i="7"/>
  <c r="R33" i="7"/>
  <c r="P33" i="7"/>
  <c r="N33" i="7"/>
  <c r="C29" i="7"/>
  <c r="T33" i="7" s="1"/>
  <c r="B84" i="7" l="1"/>
  <c r="C77" i="7"/>
  <c r="T40" i="7"/>
  <c r="B40" i="7" s="1"/>
  <c r="U75" i="7"/>
  <c r="W75" i="7" s="1"/>
  <c r="C75" i="7" s="1"/>
  <c r="R22" i="4"/>
  <c r="T9" i="4"/>
  <c r="X9" i="4" s="1"/>
  <c r="Q178" i="4"/>
  <c r="W178" i="4" s="1"/>
  <c r="X59" i="7"/>
  <c r="N60" i="7" s="1"/>
  <c r="X60" i="7" s="1"/>
  <c r="C60" i="7" s="1"/>
  <c r="AN21" i="6"/>
  <c r="AH22" i="6" s="1"/>
  <c r="N11" i="6"/>
  <c r="O21" i="6" s="1"/>
  <c r="AB61" i="7"/>
  <c r="V48" i="7"/>
  <c r="T36" i="7"/>
  <c r="AD36" i="7" s="1"/>
  <c r="B36" i="7" s="1"/>
  <c r="AD33" i="7"/>
  <c r="Q9" i="6"/>
  <c r="W86" i="4"/>
  <c r="AA9" i="6" s="1"/>
  <c r="O9" i="6"/>
  <c r="AD56" i="4"/>
  <c r="U34" i="4"/>
  <c r="R28" i="4"/>
  <c r="P30" i="4" s="1"/>
  <c r="N11" i="4" l="1"/>
  <c r="C59" i="7"/>
  <c r="B48" i="7"/>
  <c r="P17" i="4"/>
  <c r="C61" i="7"/>
  <c r="B33" i="7"/>
  <c r="C147" i="4"/>
  <c r="C146" i="4"/>
  <c r="C100" i="4"/>
  <c r="C99" i="4"/>
  <c r="F114" i="4"/>
  <c r="F45" i="4" l="1"/>
  <c r="S34" i="4" l="1"/>
  <c r="B40" i="6" l="1"/>
  <c r="B41" i="6"/>
  <c r="B38" i="6"/>
  <c r="O7" i="6"/>
  <c r="K7" i="6" l="1"/>
  <c r="C50" i="4"/>
  <c r="C49" i="4"/>
  <c r="H48" i="4"/>
  <c r="K48" i="4"/>
  <c r="A47" i="4"/>
  <c r="A192" i="4"/>
  <c r="B171" i="4"/>
  <c r="B168" i="4"/>
  <c r="B165" i="4"/>
  <c r="W141" i="4" l="1"/>
  <c r="O141" i="4"/>
  <c r="W124" i="4"/>
  <c r="S124" i="4"/>
  <c r="N125" i="4" s="1"/>
  <c r="O122" i="4"/>
  <c r="I80" i="4"/>
  <c r="U88" i="4"/>
  <c r="T169" i="4" s="1"/>
  <c r="R172" i="4" s="1"/>
  <c r="U9" i="6" l="1"/>
  <c r="S9" i="6"/>
  <c r="AC9" i="6" s="1"/>
  <c r="P13" i="4" l="1"/>
  <c r="B13" i="4" s="1"/>
  <c r="B8" i="4"/>
  <c r="B27" i="4"/>
  <c r="R11" i="4"/>
  <c r="C38" i="4" l="1"/>
  <c r="C107" i="4" s="1"/>
  <c r="B11" i="4"/>
  <c r="C39" i="4"/>
  <c r="C108" i="4" s="1"/>
  <c r="R30" i="4" l="1"/>
  <c r="C44" i="4" s="1"/>
  <c r="R17" i="4"/>
  <c r="N18" i="4" s="1"/>
  <c r="R18" i="4" s="1"/>
  <c r="C42" i="4" s="1"/>
  <c r="C113" i="4" l="1"/>
  <c r="D44" i="4"/>
  <c r="B30" i="4"/>
  <c r="B17" i="4"/>
  <c r="A49" i="6" l="1"/>
  <c r="B27" i="6"/>
  <c r="B8" i="6"/>
  <c r="N181" i="4"/>
  <c r="R181" i="4"/>
  <c r="E180" i="4"/>
  <c r="B183" i="4"/>
  <c r="T181" i="4" l="1"/>
  <c r="B177" i="4"/>
  <c r="T172" i="4"/>
  <c r="N172" i="4"/>
  <c r="X169" i="4"/>
  <c r="R169" i="4"/>
  <c r="N169" i="4"/>
  <c r="P164" i="4"/>
  <c r="P163" i="4"/>
  <c r="B157" i="4"/>
  <c r="B155" i="4"/>
  <c r="N142" i="4"/>
  <c r="AE133" i="4"/>
  <c r="Y133" i="4"/>
  <c r="Q133" i="4"/>
  <c r="P132" i="4"/>
  <c r="B130" i="4"/>
  <c r="B129" i="4"/>
  <c r="B128" i="4"/>
  <c r="D113" i="4"/>
  <c r="G108" i="4"/>
  <c r="B127" i="4"/>
  <c r="B119" i="4"/>
  <c r="V138" i="4"/>
  <c r="Y178" i="4"/>
  <c r="G107" i="4"/>
  <c r="K183" i="4" l="1"/>
  <c r="R164" i="4"/>
  <c r="T164" i="4" s="1"/>
  <c r="B181" i="4"/>
  <c r="W34" i="4"/>
  <c r="B34" i="4" s="1"/>
  <c r="B164" i="4" l="1"/>
  <c r="O138" i="4"/>
  <c r="K117" i="4"/>
  <c r="B117" i="4"/>
  <c r="U94" i="4"/>
  <c r="S94" i="4"/>
  <c r="S90" i="4"/>
  <c r="R84" i="4"/>
  <c r="N84" i="4"/>
  <c r="C12" i="2"/>
  <c r="C11" i="2"/>
  <c r="C10" i="2"/>
  <c r="C9" i="2"/>
  <c r="C8" i="2"/>
  <c r="C7" i="2"/>
  <c r="E83" i="4"/>
  <c r="O86" i="4"/>
  <c r="B81" i="4"/>
  <c r="R63" i="4"/>
  <c r="S65" i="4" s="1"/>
  <c r="W62" i="4"/>
  <c r="B62" i="4" s="1"/>
  <c r="R60" i="4"/>
  <c r="E60" i="4" s="1"/>
  <c r="AF56" i="4"/>
  <c r="AB56" i="4"/>
  <c r="Z56" i="4"/>
  <c r="V56" i="4"/>
  <c r="Q56" i="4"/>
  <c r="O56" i="4"/>
  <c r="B55" i="4"/>
  <c r="G39" i="4"/>
  <c r="G38" i="4"/>
  <c r="N28" i="4"/>
  <c r="T28" i="4" s="1"/>
  <c r="C43" i="4" s="1"/>
  <c r="B32" i="4"/>
  <c r="B24" i="4"/>
  <c r="B21" i="4"/>
  <c r="B18" i="4"/>
  <c r="Q138" i="4" l="1"/>
  <c r="Q141" i="4"/>
  <c r="C112" i="4"/>
  <c r="G112" i="4" s="1"/>
  <c r="B28" i="4"/>
  <c r="C111" i="4"/>
  <c r="Q65" i="4"/>
  <c r="T84" i="4"/>
  <c r="Q19" i="6" s="1"/>
  <c r="N57" i="4"/>
  <c r="P57" i="4" s="1"/>
  <c r="B57" i="4" s="1"/>
  <c r="B56" i="4"/>
  <c r="O65" i="4"/>
  <c r="B63" i="4"/>
  <c r="U122" i="4" l="1"/>
  <c r="W122" i="4" s="1"/>
  <c r="Y141" i="4" s="1"/>
  <c r="T19" i="6"/>
  <c r="Y86" i="4"/>
  <c r="W94" i="4" s="1"/>
  <c r="G43" i="4"/>
  <c r="Y65" i="4"/>
  <c r="P67" i="4" s="1"/>
  <c r="R67" i="4" s="1"/>
  <c r="D42" i="4"/>
  <c r="D111" i="4"/>
  <c r="B33" i="4"/>
  <c r="O88" i="4"/>
  <c r="N132" i="4"/>
  <c r="P136" i="4"/>
  <c r="B84" i="4"/>
  <c r="Q90" i="4"/>
  <c r="N15" i="6" l="1"/>
  <c r="Q36" i="6"/>
  <c r="S21" i="6"/>
  <c r="N32" i="6"/>
  <c r="B32" i="6" s="1"/>
  <c r="B19" i="6"/>
  <c r="R163" i="4"/>
  <c r="P162" i="4"/>
  <c r="U124" i="4"/>
  <c r="AA124" i="4"/>
  <c r="X138" i="4"/>
  <c r="B122" i="4"/>
  <c r="B67" i="4"/>
  <c r="S72" i="4"/>
  <c r="U90" i="4"/>
  <c r="B86" i="4"/>
  <c r="T132" i="4"/>
  <c r="B132" i="4" s="1"/>
  <c r="T136" i="4"/>
  <c r="T15" i="6"/>
  <c r="B14" i="6"/>
  <c r="B9" i="6"/>
  <c r="Y88" i="4"/>
  <c r="R162" i="4" s="1"/>
  <c r="B65" i="4"/>
  <c r="T163" i="4" l="1"/>
  <c r="B163" i="4" s="1"/>
  <c r="B36" i="6"/>
  <c r="B28" i="6"/>
  <c r="V162" i="4"/>
  <c r="B162" i="4" s="1"/>
  <c r="N29" i="6"/>
  <c r="P125" i="4"/>
  <c r="B124" i="4"/>
  <c r="R15" i="6"/>
  <c r="B10" i="6"/>
  <c r="W90" i="4"/>
  <c r="N91" i="4" s="1"/>
  <c r="B88" i="4"/>
  <c r="Y94" i="4"/>
  <c r="W133" i="4"/>
  <c r="AC133" i="4"/>
  <c r="B29" i="6" l="1"/>
  <c r="B11" i="6"/>
  <c r="B166" i="4"/>
  <c r="AG133" i="4"/>
  <c r="T125" i="4"/>
  <c r="O76" i="4"/>
  <c r="B15" i="6"/>
  <c r="N31" i="6"/>
  <c r="B31" i="6" s="1"/>
  <c r="N95" i="4"/>
  <c r="B94" i="4"/>
  <c r="B90" i="4"/>
  <c r="T91" i="4"/>
  <c r="Z169" i="4" l="1"/>
  <c r="AB169" i="4" s="1"/>
  <c r="B169" i="4" s="1"/>
  <c r="V172" i="4"/>
  <c r="X172" i="4" s="1"/>
  <c r="B172" i="4" s="1"/>
  <c r="N34" i="6"/>
  <c r="O39" i="6" s="1"/>
  <c r="K39" i="6" s="1"/>
  <c r="B16" i="6"/>
  <c r="Q21" i="6"/>
  <c r="U21" i="6" s="1"/>
  <c r="S138" i="4"/>
  <c r="B138" i="4" s="1"/>
  <c r="S141" i="4"/>
  <c r="B125" i="4"/>
  <c r="B133" i="4"/>
  <c r="Q95" i="4"/>
  <c r="O95" i="4"/>
  <c r="T134" i="4"/>
  <c r="B34" i="6" l="1"/>
  <c r="N173" i="4"/>
  <c r="B134" i="4"/>
  <c r="B95" i="4"/>
  <c r="B21" i="6" l="1"/>
  <c r="O22" i="6"/>
  <c r="K22" i="6" s="1"/>
  <c r="T25" i="4"/>
  <c r="T22" i="4"/>
  <c r="R25" i="4" s="1"/>
  <c r="F41" i="4" l="1"/>
  <c r="F110" i="4"/>
  <c r="G111" i="4"/>
  <c r="V25" i="4"/>
  <c r="C41" i="4" s="1"/>
  <c r="G113" i="4"/>
  <c r="B22" i="4"/>
  <c r="G42" i="4"/>
  <c r="G44" i="4"/>
  <c r="AC178" i="4" l="1"/>
  <c r="K181" i="4" s="1"/>
  <c r="C106" i="4"/>
  <c r="G106" i="4" s="1"/>
  <c r="G37" i="4"/>
  <c r="B9" i="4"/>
  <c r="B25" i="4"/>
  <c r="B178" i="4" l="1"/>
  <c r="D41" i="4"/>
  <c r="G41" i="4"/>
  <c r="C110" i="4"/>
  <c r="C45" i="4"/>
  <c r="G45" i="4" l="1"/>
  <c r="G46" i="4" s="1"/>
  <c r="O72" i="4" s="1"/>
  <c r="C114" i="4"/>
  <c r="D45" i="4"/>
  <c r="D46" i="4" s="1"/>
  <c r="Q173" i="4" s="1"/>
  <c r="D110" i="4"/>
  <c r="G110" i="4"/>
  <c r="D114" i="4" l="1"/>
  <c r="D115" i="4" s="1"/>
  <c r="G114" i="4"/>
  <c r="G115" i="4" s="1"/>
  <c r="I115" i="4" s="1"/>
  <c r="N136" i="4" s="1"/>
  <c r="K173" i="4"/>
  <c r="P173" i="4"/>
  <c r="B173" i="4" s="1"/>
  <c r="V91" i="4"/>
  <c r="Q72" i="4" l="1"/>
  <c r="B72" i="4" s="1"/>
  <c r="O75" i="4"/>
  <c r="Q75" i="4" s="1"/>
  <c r="K72" i="4"/>
  <c r="V136" i="4"/>
  <c r="U141" i="4" s="1"/>
  <c r="AA141" i="4" l="1"/>
  <c r="P142" i="4" s="1"/>
  <c r="B136" i="4"/>
  <c r="U76" i="4"/>
  <c r="W76" i="4" s="1"/>
  <c r="B75" i="4"/>
  <c r="K75" i="4"/>
  <c r="Q76" i="4" l="1"/>
  <c r="B76" i="4" s="1"/>
  <c r="O78" i="4"/>
  <c r="B141" i="4"/>
  <c r="K142" i="4"/>
  <c r="Q142" i="4"/>
  <c r="O142" i="4"/>
  <c r="B142" i="4" l="1"/>
  <c r="X91" i="4"/>
  <c r="B78" i="4"/>
  <c r="K91" i="4" l="1"/>
  <c r="B91" i="4"/>
</calcChain>
</file>

<file path=xl/sharedStrings.xml><?xml version="1.0" encoding="utf-8"?>
<sst xmlns="http://schemas.openxmlformats.org/spreadsheetml/2006/main" count="764" uniqueCount="391">
  <si>
    <t>Made By:</t>
  </si>
  <si>
    <t>Date:</t>
  </si>
  <si>
    <t>Structure:</t>
  </si>
  <si>
    <t>Chk'd By:</t>
  </si>
  <si>
    <t>PID:</t>
  </si>
  <si>
    <t>Sht</t>
  </si>
  <si>
    <t>of</t>
  </si>
  <si>
    <t xml:space="preserve"> x </t>
  </si>
  <si>
    <t>Assume:</t>
  </si>
  <si>
    <t xml:space="preserve">Eqx = </t>
  </si>
  <si>
    <t>Tx loads = 0.2 DC (Slab) - broken into trig components along skew</t>
  </si>
  <si>
    <t>EQx loads = 0.2 DC (Slab)</t>
  </si>
  <si>
    <t xml:space="preserve"> k/ft = </t>
  </si>
  <si>
    <t xml:space="preserve"> k/ft</t>
  </si>
  <si>
    <t xml:space="preserve">Tx = </t>
  </si>
  <si>
    <t xml:space="preserve">) = </t>
  </si>
  <si>
    <t xml:space="preserve"> k/ft x SIN(</t>
  </si>
  <si>
    <t>Abutment Backfill info: Assume ɣ = 120 pcf = 0.12 kcf &amp; ϕ = 30°</t>
  </si>
  <si>
    <t xml:space="preserve"> ft x </t>
  </si>
  <si>
    <t xml:space="preserve"> ft = </t>
  </si>
  <si>
    <t xml:space="preserve"> / </t>
  </si>
  <si>
    <t xml:space="preserve"> kcf x </t>
  </si>
  <si>
    <t xml:space="preserve"> + </t>
  </si>
  <si>
    <t xml:space="preserve"> - </t>
  </si>
  <si>
    <t xml:space="preserve">DCstem = </t>
  </si>
  <si>
    <t>Strength I</t>
  </si>
  <si>
    <t>Load Factor</t>
  </si>
  <si>
    <t>DCstem</t>
  </si>
  <si>
    <t>DW</t>
  </si>
  <si>
    <t>LL + IM</t>
  </si>
  <si>
    <t>LS</t>
  </si>
  <si>
    <t xml:space="preserve">LS = </t>
  </si>
  <si>
    <t>Live Load Surcharge 3.11.6.4</t>
  </si>
  <si>
    <t xml:space="preserve">∴ Heq = </t>
  </si>
  <si>
    <t xml:space="preserve"> = </t>
  </si>
  <si>
    <t>(</t>
  </si>
  <si>
    <t>)</t>
  </si>
  <si>
    <t xml:space="preserve">) x </t>
  </si>
  <si>
    <t>) / (</t>
  </si>
  <si>
    <t>BRx</t>
  </si>
  <si>
    <t xml:space="preserve">IM = </t>
  </si>
  <si>
    <t xml:space="preserve"> for Strength I</t>
  </si>
  <si>
    <t xml:space="preserve">LL + IM = </t>
  </si>
  <si>
    <t>Tx (slip)</t>
  </si>
  <si>
    <t>Unfactored Load
k/ft</t>
  </si>
  <si>
    <t>Moment Arm
ft</t>
  </si>
  <si>
    <t>Factored Shear
k/ft</t>
  </si>
  <si>
    <t>Factored Moment
k-ft/ft</t>
  </si>
  <si>
    <t>Verify Stem Thickness</t>
  </si>
  <si>
    <t xml:space="preserve">N = </t>
  </si>
  <si>
    <t>L</t>
  </si>
  <si>
    <t>H)(</t>
  </si>
  <si>
    <t>S</t>
  </si>
  <si>
    <t>^</t>
  </si>
  <si>
    <t>))</t>
  </si>
  <si>
    <t xml:space="preserve"> in </t>
  </si>
  <si>
    <t>in</t>
  </si>
  <si>
    <t>Stem Flexure Design - Strength I</t>
  </si>
  <si>
    <t>Calculate Mcr</t>
  </si>
  <si>
    <t xml:space="preserve">Vu = </t>
  </si>
  <si>
    <t xml:space="preserve">Mcr = </t>
  </si>
  <si>
    <t>AASTHO 4.7.4.4</t>
  </si>
  <si>
    <t>AASTHO 3.6.2</t>
  </si>
  <si>
    <t xml:space="preserve">fr x (Ig/yt) = </t>
  </si>
  <si>
    <t xml:space="preserve">fr x (Ig/yt) </t>
  </si>
  <si>
    <t xml:space="preserve">fr = </t>
  </si>
  <si>
    <t>AASTHO 5.4.2.6</t>
  </si>
  <si>
    <t>√</t>
  </si>
  <si>
    <t xml:space="preserve"> ksi = </t>
  </si>
  <si>
    <t xml:space="preserve"> ksi</t>
  </si>
  <si>
    <t xml:space="preserve">Ig = </t>
  </si>
  <si>
    <t xml:space="preserve">b(h^3)/12 = </t>
  </si>
  <si>
    <t xml:space="preserve"> (</t>
  </si>
  <si>
    <t>)/</t>
  </si>
  <si>
    <t xml:space="preserve">yt = </t>
  </si>
  <si>
    <t xml:space="preserve"> in</t>
  </si>
  <si>
    <t xml:space="preserve"> in4</t>
  </si>
  <si>
    <t xml:space="preserve"> x (</t>
  </si>
  <si>
    <t>) x (</t>
  </si>
  <si>
    <t xml:space="preserve"> k-ft</t>
  </si>
  <si>
    <t xml:space="preserve">1.2 Mcr = </t>
  </si>
  <si>
    <t xml:space="preserve">Mu = </t>
  </si>
  <si>
    <t>Assume Tension Controlled Section (Verify Later)</t>
  </si>
  <si>
    <t xml:space="preserve">Mr = </t>
  </si>
  <si>
    <t>ϕMn = ϕAs fy (ds - a/2)</t>
  </si>
  <si>
    <t>∴ ϕ =</t>
  </si>
  <si>
    <t xml:space="preserve">ds = </t>
  </si>
  <si>
    <t xml:space="preserve"> in - </t>
  </si>
  <si>
    <t xml:space="preserve"> in (cover) - (</t>
  </si>
  <si>
    <t xml:space="preserve">stem T - cover - (1/2) db = </t>
  </si>
  <si>
    <t xml:space="preserve">a = </t>
  </si>
  <si>
    <t xml:space="preserve"> in = </t>
  </si>
  <si>
    <t xml:space="preserve"> / (</t>
  </si>
  <si>
    <t>∴ As =</t>
  </si>
  <si>
    <t>sq in x (</t>
  </si>
  <si>
    <t xml:space="preserve"> sq in</t>
  </si>
  <si>
    <t>As fy / (0.85 fc' b) = (</t>
  </si>
  <si>
    <t>Assume Reinforcing Design of:</t>
  </si>
  <si>
    <t xml:space="preserve">No. </t>
  </si>
  <si>
    <t xml:space="preserve"> bars @ </t>
  </si>
  <si>
    <t>Reinforcing Bar Chart</t>
  </si>
  <si>
    <t>No.</t>
  </si>
  <si>
    <t>Dia. (inch)</t>
  </si>
  <si>
    <t>Area (sq.in.)</t>
  </si>
  <si>
    <t xml:space="preserve">ϕMn = ϕ AS fy (ds - a/2) = </t>
  </si>
  <si>
    <t xml:space="preserve"> k-in x (</t>
  </si>
  <si>
    <t>k - ft</t>
  </si>
  <si>
    <t>Verify Tension Controlled</t>
  </si>
  <si>
    <t xml:space="preserve">ε = </t>
  </si>
  <si>
    <t xml:space="preserve"> - (</t>
  </si>
  <si>
    <t>s = or &lt;</t>
  </si>
  <si>
    <t xml:space="preserve"> ɣe</t>
  </si>
  <si>
    <t xml:space="preserve"> dc</t>
  </si>
  <si>
    <t>Class</t>
  </si>
  <si>
    <t>Exposure</t>
  </si>
  <si>
    <t xml:space="preserve">∴  ɣe = </t>
  </si>
  <si>
    <t xml:space="preserve">) / ( </t>
  </si>
  <si>
    <t>Class reference manual 4.6.14 &amp; topic 2.2</t>
  </si>
  <si>
    <t>DCsuper</t>
  </si>
  <si>
    <t>EPstem</t>
  </si>
  <si>
    <t>Table 3.6.2.1-1</t>
  </si>
  <si>
    <t xml:space="preserve"> ft) = </t>
  </si>
  <si>
    <t xml:space="preserve"> in spa.</t>
  </si>
  <si>
    <t xml:space="preserve">(ds / (a/β1))) = </t>
  </si>
  <si>
    <t>)))</t>
  </si>
  <si>
    <t xml:space="preserve">dc = </t>
  </si>
  <si>
    <t xml:space="preserve">fs) - </t>
  </si>
  <si>
    <t xml:space="preserve">where fs = </t>
  </si>
  <si>
    <t>tensile stress in reinforcing steel at the service limit state</t>
  </si>
  <si>
    <t xml:space="preserve">fs = </t>
  </si>
  <si>
    <t>Mu (service) / (As x j x ds)</t>
  </si>
  <si>
    <t>Service I</t>
  </si>
  <si>
    <t>1 - (k/3)</t>
  </si>
  <si>
    <t xml:space="preserve">j = </t>
  </si>
  <si>
    <t>k =</t>
  </si>
  <si>
    <t xml:space="preserve">ρ = </t>
  </si>
  <si>
    <t>As / bds</t>
  </si>
  <si>
    <t xml:space="preserve">n = </t>
  </si>
  <si>
    <t>)^</t>
  </si>
  <si>
    <t xml:space="preserve"> + (</t>
  </si>
  <si>
    <t xml:space="preserve">) - </t>
  </si>
  <si>
    <t>/</t>
  </si>
  <si>
    <t xml:space="preserve">∴  fs = </t>
  </si>
  <si>
    <t>Factored Shear Resistance (of concrete alone) taken as lesser of:</t>
  </si>
  <si>
    <t xml:space="preserve">Vr = </t>
  </si>
  <si>
    <t>ϕVn = ϕ x 0.0316 x β x (f'c)^(0.5) x bv x dv</t>
  </si>
  <si>
    <t>or</t>
  </si>
  <si>
    <t>ϕVn = ϕ x 0.25 x f'c x bv x dv</t>
  </si>
  <si>
    <t>dv =</t>
  </si>
  <si>
    <t xml:space="preserve">de - a/2 = </t>
  </si>
  <si>
    <t xml:space="preserve">de = </t>
  </si>
  <si>
    <t xml:space="preserve">h = </t>
  </si>
  <si>
    <t>for this case, de = ds =</t>
  </si>
  <si>
    <t>or dv =</t>
  </si>
  <si>
    <t xml:space="preserve">∴  dv = </t>
  </si>
  <si>
    <t xml:space="preserve">β = </t>
  </si>
  <si>
    <t>^(</t>
  </si>
  <si>
    <t xml:space="preserve"> k</t>
  </si>
  <si>
    <t xml:space="preserve">∴  Vr = </t>
  </si>
  <si>
    <t>Class reference manual 4.6.17 to 4.6.19</t>
  </si>
  <si>
    <t>As (per foot) on each face shall satisfy:</t>
  </si>
  <si>
    <t>As &gt; or =</t>
  </si>
  <si>
    <t xml:space="preserve"> ≤ </t>
  </si>
  <si>
    <t>As</t>
  </si>
  <si>
    <t>Assume S&amp;T Reinforcing of:</t>
  </si>
  <si>
    <t>Element:</t>
  </si>
  <si>
    <t xml:space="preserve">ldb = </t>
  </si>
  <si>
    <t xml:space="preserve"> in ≥ </t>
  </si>
  <si>
    <t xml:space="preserve">∴ Idb = </t>
  </si>
  <si>
    <t>Include applicable modification factors (Reference Manual Table 2.5.3, page 2.5.12):</t>
  </si>
  <si>
    <t xml:space="preserve">cover = </t>
  </si>
  <si>
    <t xml:space="preserve"> in &gt; </t>
  </si>
  <si>
    <r>
      <t xml:space="preserve">db 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 xml:space="preserve"> </t>
    </r>
  </si>
  <si>
    <t xml:space="preserve">clear spa. = </t>
  </si>
  <si>
    <t xml:space="preserve">∴ MF1 = </t>
  </si>
  <si>
    <t xml:space="preserve">∴ MF2 = </t>
  </si>
  <si>
    <t>Development Length into Footing</t>
  </si>
  <si>
    <t>Include applicable modification factors (Reference Manual Topic 2.5, pages 2.5.14-2.5.15):</t>
  </si>
  <si>
    <t>H = 0 (single-span value per 4.7.4.4)</t>
  </si>
  <si>
    <t xml:space="preserve"> k/ft x </t>
  </si>
  <si>
    <t xml:space="preserve">k / </t>
  </si>
  <si>
    <t>))(</t>
  </si>
  <si>
    <t xml:space="preserve">DW = </t>
  </si>
  <si>
    <t xml:space="preserve">DCsuper = </t>
  </si>
  <si>
    <t xml:space="preserve">BRx = </t>
  </si>
  <si>
    <t xml:space="preserve"> k / </t>
  </si>
  <si>
    <t>Note see Foundation Load Calcs for Additional Info/Loads</t>
  </si>
  <si>
    <t xml:space="preserve">ko = </t>
  </si>
  <si>
    <t xml:space="preserve">Ep (at rest) = </t>
  </si>
  <si>
    <t xml:space="preserve">EH (at rest) = </t>
  </si>
  <si>
    <t>EH (at rest)</t>
  </si>
  <si>
    <t xml:space="preserve"> sq in x (</t>
  </si>
  <si>
    <t>AASTHO 5.7.3 &amp; Pg 4.6.9 of Training Manual</t>
  </si>
  <si>
    <t>Check if Mu is &gt; than 1.2 Mcr</t>
  </si>
  <si>
    <t xml:space="preserve"> k-ft = </t>
  </si>
  <si>
    <t>Determine Minimum Factored Flexural Resistance for design</t>
  </si>
  <si>
    <t>k</t>
  </si>
  <si>
    <t>Check if Mu is &lt; 1.2 Mcr</t>
  </si>
  <si>
    <t xml:space="preserve"> k-ft </t>
  </si>
  <si>
    <t xml:space="preserve"> 1.2 Mcr = </t>
  </si>
  <si>
    <t xml:space="preserve"> 1.33 Mu = </t>
  </si>
  <si>
    <t xml:space="preserve">∴ The Ultimate Moment for design Mu = </t>
  </si>
  <si>
    <t>) k-in</t>
  </si>
  <si>
    <t>depth of concrete from extreme tension fiber to center of closes rebar</t>
  </si>
  <si>
    <t xml:space="preserve">cover + 1/2 db = </t>
  </si>
  <si>
    <t>βs =</t>
  </si>
  <si>
    <t>{ dc / [</t>
  </si>
  <si>
    <t xml:space="preserve"> x (h - dc) ] } = </t>
  </si>
  <si>
    <t xml:space="preserve"> + {</t>
  </si>
  <si>
    <t xml:space="preserve"> / [</t>
  </si>
  <si>
    <t xml:space="preserve">) ] } </t>
  </si>
  <si>
    <t>[(</t>
  </si>
  <si>
    <t>)]^(</t>
  </si>
  <si>
    <t>[(ρ x n)^2 + (2 x ρ x n)]^(0.5) - ρ x n</t>
  </si>
  <si>
    <t xml:space="preserve">k-ft = </t>
  </si>
  <si>
    <t xml:space="preserve"> k-in</t>
  </si>
  <si>
    <t xml:space="preserve"> k-in / (</t>
  </si>
  <si>
    <t xml:space="preserve"> sq in x </t>
  </si>
  <si>
    <t xml:space="preserve"> in ) = </t>
  </si>
  <si>
    <t>[ (</t>
  </si>
  <si>
    <t>) / (βs fs ) ]</t>
  </si>
  <si>
    <t xml:space="preserve">) ] - </t>
  </si>
  <si>
    <t>Abutment Design - v 1.1</t>
  </si>
  <si>
    <t>Vr = ϕVn &gt; or = Vu (Greater of Strength or Service Limit State)</t>
  </si>
  <si>
    <t>Where:</t>
  </si>
  <si>
    <t>ϕ =</t>
  </si>
  <si>
    <t>(Normal Weight Concrete)</t>
  </si>
  <si>
    <t>dv is taken as maximum of:</t>
  </si>
  <si>
    <t>5.8.2.9-2</t>
  </si>
  <si>
    <t>&lt; - Designer Note. Check to see if it passes at Beta - 1.47, if not read AASHTO 5.8.3.4 and see Ray</t>
  </si>
  <si>
    <t xml:space="preserve"> in - (</t>
  </si>
  <si>
    <t xml:space="preserve"> in /</t>
  </si>
  <si>
    <t xml:space="preserve">) ksi x </t>
  </si>
  <si>
    <t xml:space="preserve"> in x </t>
  </si>
  <si>
    <t xml:space="preserve"> ksi x </t>
  </si>
  <si>
    <t xml:space="preserve"> in) / [</t>
  </si>
  <si>
    <t xml:space="preserve"> in + </t>
  </si>
  <si>
    <t xml:space="preserve"> in) x </t>
  </si>
  <si>
    <t xml:space="preserve"> ksi ] = </t>
  </si>
  <si>
    <t>5.10.8-2</t>
  </si>
  <si>
    <t xml:space="preserve"> Bars</t>
  </si>
  <si>
    <r>
      <t xml:space="preserve">(1.25 Ab fy) / (f'c^0.5) </t>
    </r>
    <r>
      <rPr>
        <sz val="11"/>
        <color theme="1"/>
        <rFont val="Calibri"/>
        <family val="2"/>
      </rPr>
      <t>≥ 0.4 db fy</t>
    </r>
  </si>
  <si>
    <t>For:</t>
  </si>
  <si>
    <t xml:space="preserve"> ksi ) / [ </t>
  </si>
  <si>
    <r>
      <t xml:space="preserve"> ksi ] </t>
    </r>
    <r>
      <rPr>
        <sz val="11"/>
        <color theme="1"/>
        <rFont val="Calibri"/>
        <family val="2"/>
      </rPr>
      <t xml:space="preserve">≥ </t>
    </r>
  </si>
  <si>
    <t>(Epoxy Coating per CMS 509)</t>
  </si>
  <si>
    <t>Over Reinforcement Ratio</t>
  </si>
  <si>
    <t xml:space="preserve">Ld = </t>
  </si>
  <si>
    <t xml:space="preserve">sq in / </t>
  </si>
  <si>
    <t xml:space="preserve">sq in = </t>
  </si>
  <si>
    <t xml:space="preserve">As req'd / As prov'd = </t>
  </si>
  <si>
    <t xml:space="preserve">ldb x MF1 x MF2 = </t>
  </si>
  <si>
    <t xml:space="preserve"> in ) / (</t>
  </si>
  <si>
    <t xml:space="preserve">Lhb = </t>
  </si>
  <si>
    <t>Max of the Following:</t>
  </si>
  <si>
    <t>(38db)/(f'c^0.5) x Applicable Mod Factors</t>
  </si>
  <si>
    <t>) ksi</t>
  </si>
  <si>
    <t xml:space="preserve">MF1 = </t>
  </si>
  <si>
    <t xml:space="preserve">MF2 = </t>
  </si>
  <si>
    <t>(Epoxy Coating) (From Above)</t>
  </si>
  <si>
    <t>(Over Reinforcement Ratio) (From Above)</t>
  </si>
  <si>
    <t xml:space="preserve">∴ Lhb = </t>
  </si>
  <si>
    <t xml:space="preserve">8 db = </t>
  </si>
  <si>
    <t xml:space="preserve">Use </t>
  </si>
  <si>
    <t xml:space="preserve">ft x </t>
  </si>
  <si>
    <t>(1.3 Z D)/[2(Z+D)fy]</t>
  </si>
  <si>
    <t>DJL</t>
  </si>
  <si>
    <t>Abutment Stem</t>
  </si>
  <si>
    <t>HOL-00083-11.960</t>
  </si>
  <si>
    <t>108525</t>
  </si>
  <si>
    <t>MVC</t>
  </si>
  <si>
    <t>AASTHO 5.6.3.5.2-2</t>
  </si>
  <si>
    <t>5.6.3.5.2-2</t>
  </si>
  <si>
    <t>Check Shear per AASHTO 5.7.2.1-1</t>
  </si>
  <si>
    <t>AASTHO 5.7.2.8</t>
  </si>
  <si>
    <t>AASTHO 5.7.3.4-1</t>
  </si>
  <si>
    <t>Shrinkage and Temperature Reinforcement Design per AASHTO 5.10.6</t>
  </si>
  <si>
    <t>5.10.6-1</t>
  </si>
  <si>
    <t>Development Length into Stem (AASHTO 5.10.8.2.1a-2)</t>
  </si>
  <si>
    <t>5.10.8.2.1b</t>
  </si>
  <si>
    <t>5.10.8.2.1c-4</t>
  </si>
  <si>
    <t>5.10.8.2a-1</t>
  </si>
  <si>
    <t>Standard hook tension development length (AASHTO 5.10.8.2.4a-2)</t>
  </si>
  <si>
    <t>CB17-48 Box Beam</t>
  </si>
  <si>
    <t>Diaphragm:</t>
  </si>
  <si>
    <t>Normal:</t>
  </si>
  <si>
    <t>Exterior Beam (Area)</t>
  </si>
  <si>
    <r>
      <t>FT</t>
    </r>
    <r>
      <rPr>
        <vertAlign val="superscript"/>
        <sz val="11"/>
        <color theme="1"/>
        <rFont val="Calibri"/>
        <family val="2"/>
        <scheme val="minor"/>
      </rPr>
      <t>2</t>
    </r>
  </si>
  <si>
    <t>Interior Beam (Area)</t>
  </si>
  <si>
    <t>Length:</t>
  </si>
  <si>
    <t>FT</t>
  </si>
  <si>
    <t>End Diaphragm:</t>
  </si>
  <si>
    <t>Interior Diapharagm:</t>
  </si>
  <si>
    <t>Normal Section:</t>
  </si>
  <si>
    <t>Weight:</t>
  </si>
  <si>
    <r>
      <t>k/FT</t>
    </r>
    <r>
      <rPr>
        <vertAlign val="superscript"/>
        <sz val="11"/>
        <color theme="1"/>
        <rFont val="Calibri"/>
        <family val="2"/>
        <scheme val="minor"/>
      </rPr>
      <t>3</t>
    </r>
  </si>
  <si>
    <t>FT x</t>
  </si>
  <si>
    <t xml:space="preserve">FT x </t>
  </si>
  <si>
    <t xml:space="preserve"> EACH) + (</t>
  </si>
  <si>
    <r>
      <t>k/FT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= </t>
    </r>
  </si>
  <si>
    <r>
      <t xml:space="preserve">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)] x </t>
    </r>
  </si>
  <si>
    <r>
      <t xml:space="preserve">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) + (</t>
    </r>
  </si>
  <si>
    <t xml:space="preserve"> FT x </t>
  </si>
  <si>
    <r>
      <t xml:space="preserve"> 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x </t>
    </r>
  </si>
  <si>
    <t>Exterior Beam (x2)</t>
  </si>
  <si>
    <t>Interior Beam (x6)</t>
  </si>
  <si>
    <t>TST-2 Railing:</t>
  </si>
  <si>
    <t>k-FT</t>
  </si>
  <si>
    <t>Railing Length:</t>
  </si>
  <si>
    <t xml:space="preserve">( </t>
  </si>
  <si>
    <t xml:space="preserve"> k-FT x </t>
  </si>
  <si>
    <t xml:space="preserve"> SIDES) = </t>
  </si>
  <si>
    <t>Deck</t>
  </si>
  <si>
    <t>Width:</t>
  </si>
  <si>
    <t>Depth:</t>
  </si>
  <si>
    <r>
      <t xml:space="preserve"> k/FT</t>
    </r>
    <r>
      <rPr>
        <vertAlign val="superscript"/>
        <sz val="11"/>
        <color theme="1"/>
        <rFont val="Calibri"/>
        <family val="2"/>
        <scheme val="minor"/>
      </rPr>
      <t xml:space="preserve">3 ) = </t>
    </r>
  </si>
  <si>
    <t>Approach Slab</t>
  </si>
  <si>
    <t>FWS</t>
  </si>
  <si>
    <r>
      <t>k/FT</t>
    </r>
    <r>
      <rPr>
        <vertAlign val="superscript"/>
        <sz val="11"/>
        <color theme="1"/>
        <rFont val="Calibri"/>
        <family val="2"/>
        <scheme val="minor"/>
      </rPr>
      <t>2</t>
    </r>
  </si>
  <si>
    <t>IN</t>
  </si>
  <si>
    <t xml:space="preserve"> FT x (</t>
  </si>
  <si>
    <r>
      <t>Weight</t>
    </r>
    <r>
      <rPr>
        <vertAlign val="subscript"/>
        <sz val="11"/>
        <color theme="1"/>
        <rFont val="Calibri"/>
        <family val="2"/>
        <scheme val="minor"/>
      </rPr>
      <t>AS</t>
    </r>
    <r>
      <rPr>
        <sz val="11"/>
        <color theme="1"/>
        <rFont val="Calibri"/>
        <family val="2"/>
        <scheme val="minor"/>
      </rPr>
      <t xml:space="preserve"> =</t>
    </r>
  </si>
  <si>
    <r>
      <t>DL</t>
    </r>
    <r>
      <rPr>
        <vertAlign val="subscript"/>
        <sz val="11"/>
        <color theme="1"/>
        <rFont val="Calibri"/>
        <family val="2"/>
        <scheme val="minor"/>
      </rPr>
      <t>AS</t>
    </r>
    <r>
      <rPr>
        <sz val="11"/>
        <color theme="1"/>
        <rFont val="Calibri"/>
        <family val="2"/>
        <scheme val="minor"/>
      </rPr>
      <t xml:space="preserve"> =</t>
    </r>
  </si>
  <si>
    <t xml:space="preserve"> k ) ( </t>
  </si>
  <si>
    <t xml:space="preserve">) ( </t>
  </si>
  <si>
    <t xml:space="preserve"> k (DC)</t>
  </si>
  <si>
    <r>
      <t>FWS</t>
    </r>
    <r>
      <rPr>
        <vertAlign val="subscript"/>
        <sz val="11"/>
        <color theme="1"/>
        <rFont val="Calibri"/>
        <family val="2"/>
        <scheme val="minor"/>
      </rPr>
      <t xml:space="preserve">AS </t>
    </r>
    <r>
      <rPr>
        <sz val="11"/>
        <color theme="1"/>
        <rFont val="Calibri"/>
        <family val="2"/>
        <scheme val="minor"/>
      </rPr>
      <t>=</t>
    </r>
  </si>
  <si>
    <r>
      <t>k/FT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) (</t>
    </r>
  </si>
  <si>
    <t xml:space="preserve"> FT ) x (</t>
  </si>
  <si>
    <t xml:space="preserve"> k (DW)</t>
  </si>
  <si>
    <t>5.7.3.3-3</t>
  </si>
  <si>
    <t>5.7.3.3-2</t>
  </si>
  <si>
    <t>HOL-00083-11.960 - Calculations</t>
  </si>
  <si>
    <t xml:space="preserve"> kips* / </t>
  </si>
  <si>
    <t xml:space="preserve"> k/ft      *(See Calc Sheets)</t>
  </si>
  <si>
    <t>Dcsuper Components</t>
  </si>
  <si>
    <t>Dcstem Components</t>
  </si>
  <si>
    <t>Wingwall Height:</t>
  </si>
  <si>
    <t>Breastwall Avg Height:</t>
  </si>
  <si>
    <t>Breastwall Length:</t>
  </si>
  <si>
    <t>Backwall Height:</t>
  </si>
  <si>
    <t>Backwall Depth:</t>
  </si>
  <si>
    <t>Backwall Length:</t>
  </si>
  <si>
    <t>Combined Wingwall Length:</t>
  </si>
  <si>
    <t xml:space="preserve"> kcf x [( </t>
  </si>
  <si>
    <t xml:space="preserve">  ) cf + ( </t>
  </si>
  <si>
    <t xml:space="preserve"> cf )] / </t>
  </si>
  <si>
    <t xml:space="preserve"> k/ft </t>
  </si>
  <si>
    <t>0.15 kcf x [(Hww x Tstem) + (Hbw x Tstem) + (Haseat x Taseat)] / Labut</t>
  </si>
  <si>
    <t>Tx = Topping Thickness</t>
  </si>
  <si>
    <t xml:space="preserve">ka x ɣ x (Hbreastwall) = </t>
  </si>
  <si>
    <t xml:space="preserve">1/2 x Ep x (Hbreastwall) = </t>
  </si>
  <si>
    <t xml:space="preserve">ɣ x (Heq x (Hbreastwall)) x ka = </t>
  </si>
  <si>
    <t>Check Crack Control per AASHTO 5.7.3.4 (Service Limit State)</t>
  </si>
  <si>
    <t>5.6.7-2</t>
  </si>
  <si>
    <t>BR (Braking Force)</t>
  </si>
  <si>
    <t>Deck Width:</t>
  </si>
  <si>
    <t>Design Lane:</t>
  </si>
  <si>
    <t xml:space="preserve">Design Lane: </t>
  </si>
  <si>
    <t>W</t>
  </si>
  <si>
    <t xml:space="preserve">, Use: </t>
  </si>
  <si>
    <t xml:space="preserve"> Lanes</t>
  </si>
  <si>
    <t>Multiple Presence Factor (m)</t>
  </si>
  <si>
    <t>Table 3.6.1.1.2-1</t>
  </si>
  <si>
    <t>ADTT</t>
  </si>
  <si>
    <t>Trucks</t>
  </si>
  <si>
    <t>Title Sheet</t>
  </si>
  <si>
    <t>C3.6.1.1.2</t>
  </si>
  <si>
    <t xml:space="preserve">(m) = </t>
  </si>
  <si>
    <t xml:space="preserve">IF </t>
  </si>
  <si>
    <r>
      <t xml:space="preserve"> &lt;</t>
    </r>
    <r>
      <rPr>
        <sz val="11"/>
        <color theme="1"/>
        <rFont val="Calibri"/>
        <family val="2"/>
      </rPr>
      <t xml:space="preserve">̲ </t>
    </r>
  </si>
  <si>
    <t xml:space="preserve">,  </t>
  </si>
  <si>
    <t>3.6.4</t>
  </si>
  <si>
    <t>The braking force shall be taken as the greater of:</t>
  </si>
  <si>
    <t>A) 25% of the axle weight of the design truck or design tandem</t>
  </si>
  <si>
    <t>B) 5% of design truck + lane load or 5% of design tandem + lane load</t>
  </si>
  <si>
    <r>
      <t>BR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</t>
    </r>
  </si>
  <si>
    <t xml:space="preserve"> ( </t>
  </si>
  <si>
    <t xml:space="preserve">k + </t>
  </si>
  <si>
    <t>k) (</t>
  </si>
  <si>
    <t>) (</t>
  </si>
  <si>
    <t xml:space="preserve"> ) ( </t>
  </si>
  <si>
    <t xml:space="preserve"> ) = </t>
  </si>
  <si>
    <r>
      <t>BR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=</t>
    </r>
  </si>
  <si>
    <t xml:space="preserve">k +  </t>
  </si>
  <si>
    <t>Use:</t>
  </si>
  <si>
    <t>4" CLEAR ON BACK</t>
  </si>
  <si>
    <t>Stem Thickness:</t>
  </si>
  <si>
    <t>Deck FWS =</t>
  </si>
  <si>
    <t>k (DW)</t>
  </si>
  <si>
    <t>EH = Resultant Horizontal Earth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</si>
</sst>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i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b/>
      <i/>
      <sz val="11"/>
      <color theme="8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 applyNumberFormat="0" applyFill="0" applyBorder="0" applyAlignment="0" applyProtection="0"/>
  </cellStyleXfs>
  <cellXfs count="116">
    <xf numFmtId="0" fontId="0" fillId="0" borderId="0" xfId="0"/>
    <xf numFmtId="0" fontId="3" fillId="0" borderId="0" xfId="2" applyFont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3" fillId="2" borderId="1" xfId="1" applyFont="1" applyFill="1" applyBorder="1" applyAlignment="1" applyProtection="1">
      <alignment horizontal="center"/>
      <protection locked="0"/>
    </xf>
    <xf numFmtId="0" fontId="2" fillId="0" borderId="0" xfId="1" applyFont="1"/>
    <xf numFmtId="0" fontId="3" fillId="2" borderId="1" xfId="1" applyFont="1" applyFill="1" applyBorder="1" applyAlignment="1">
      <alignment horizontal="center"/>
    </xf>
    <xf numFmtId="0" fontId="3" fillId="2" borderId="0" xfId="1" applyFont="1" applyFill="1" applyAlignment="1" applyProtection="1">
      <alignment horizontal="left"/>
      <protection locked="0"/>
    </xf>
    <xf numFmtId="0" fontId="3" fillId="0" borderId="0" xfId="1" applyFont="1" applyAlignment="1">
      <alignment horizontal="left"/>
    </xf>
    <xf numFmtId="0" fontId="4" fillId="0" borderId="0" xfId="0" applyFont="1"/>
    <xf numFmtId="0" fontId="2" fillId="0" borderId="1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/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2" borderId="0" xfId="0" applyFill="1"/>
    <xf numFmtId="0" fontId="0" fillId="4" borderId="0" xfId="0" applyFill="1"/>
    <xf numFmtId="0" fontId="2" fillId="0" borderId="0" xfId="1" applyFont="1" applyAlignment="1">
      <alignment horizontal="center"/>
    </xf>
    <xf numFmtId="0" fontId="8" fillId="4" borderId="0" xfId="0" applyFont="1" applyFill="1"/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/>
    <xf numFmtId="0" fontId="6" fillId="0" borderId="0" xfId="0" applyFont="1" applyAlignment="1">
      <alignment horizontal="right"/>
    </xf>
    <xf numFmtId="0" fontId="6" fillId="0" borderId="0" xfId="0" applyFont="1"/>
    <xf numFmtId="2" fontId="6" fillId="0" borderId="0" xfId="0" applyNumberFormat="1" applyFont="1"/>
    <xf numFmtId="0" fontId="6" fillId="3" borderId="0" xfId="0" applyFont="1" applyFill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0" fontId="6" fillId="0" borderId="5" xfId="0" applyFont="1" applyBorder="1" applyAlignment="1">
      <alignment horizontal="center" textRotation="90" wrapText="1"/>
    </xf>
    <xf numFmtId="0" fontId="6" fillId="0" borderId="5" xfId="0" applyFont="1" applyBorder="1"/>
    <xf numFmtId="0" fontId="6" fillId="0" borderId="6" xfId="0" applyFont="1" applyBorder="1" applyAlignment="1">
      <alignment horizontal="center" textRotation="90" wrapText="1"/>
    </xf>
    <xf numFmtId="0" fontId="6" fillId="0" borderId="7" xfId="0" applyFont="1" applyBorder="1" applyAlignment="1">
      <alignment horizontal="center" textRotation="90"/>
    </xf>
    <xf numFmtId="0" fontId="6" fillId="0" borderId="3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2" fontId="0" fillId="2" borderId="8" xfId="0" applyNumberFormat="1" applyFill="1" applyBorder="1" applyAlignment="1">
      <alignment horizontal="center"/>
    </xf>
    <xf numFmtId="2" fontId="0" fillId="2" borderId="9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7" fillId="0" borderId="0" xfId="0" applyFont="1" applyAlignment="1">
      <alignment horizontal="right"/>
    </xf>
    <xf numFmtId="2" fontId="0" fillId="4" borderId="0" xfId="0" applyNumberFormat="1" applyFill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8" fillId="0" borderId="0" xfId="3" quotePrefix="1" applyFont="1"/>
    <xf numFmtId="0" fontId="0" fillId="2" borderId="0" xfId="0" applyFill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11" fillId="0" borderId="0" xfId="0" applyFont="1"/>
    <xf numFmtId="0" fontId="7" fillId="0" borderId="0" xfId="0" applyFont="1" applyAlignment="1">
      <alignment horizontal="left"/>
    </xf>
    <xf numFmtId="14" fontId="3" fillId="2" borderId="1" xfId="1" applyNumberFormat="1" applyFont="1" applyFill="1" applyBorder="1" applyAlignment="1">
      <alignment horizontal="center"/>
    </xf>
    <xf numFmtId="0" fontId="12" fillId="0" borderId="0" xfId="0" applyFont="1"/>
    <xf numFmtId="0" fontId="0" fillId="0" borderId="4" xfId="0" applyBorder="1" applyAlignment="1">
      <alignment horizontal="center"/>
    </xf>
    <xf numFmtId="0" fontId="0" fillId="2" borderId="4" xfId="0" applyFill="1" applyBorder="1" applyAlignment="1">
      <alignment horizontal="center"/>
    </xf>
    <xf numFmtId="2" fontId="0" fillId="4" borderId="13" xfId="0" applyNumberFormat="1" applyFill="1" applyBorder="1" applyAlignment="1">
      <alignment horizontal="center"/>
    </xf>
    <xf numFmtId="2" fontId="0" fillId="4" borderId="14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0" borderId="16" xfId="0" applyBorder="1" applyAlignment="1">
      <alignment horizontal="center"/>
    </xf>
    <xf numFmtId="2" fontId="0" fillId="4" borderId="17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5" borderId="11" xfId="0" applyFont="1" applyFill="1" applyBorder="1" applyAlignment="1">
      <alignment horizontal="right"/>
    </xf>
    <xf numFmtId="2" fontId="0" fillId="5" borderId="9" xfId="0" applyNumberFormat="1" applyFill="1" applyBorder="1" applyAlignment="1">
      <alignment horizontal="center"/>
    </xf>
    <xf numFmtId="2" fontId="8" fillId="5" borderId="2" xfId="0" applyNumberFormat="1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2" fontId="0" fillId="5" borderId="14" xfId="0" applyNumberFormat="1" applyFill="1" applyBorder="1" applyAlignment="1">
      <alignment horizontal="center"/>
    </xf>
    <xf numFmtId="2" fontId="0" fillId="4" borderId="4" xfId="0" applyNumberForma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2" fontId="8" fillId="4" borderId="2" xfId="0" applyNumberFormat="1" applyFont="1" applyFill="1" applyBorder="1" applyAlignment="1">
      <alignment horizontal="center"/>
    </xf>
    <xf numFmtId="2" fontId="8" fillId="4" borderId="16" xfId="0" applyNumberFormat="1" applyFont="1" applyFill="1" applyBorder="1" applyAlignment="1">
      <alignment horizontal="center"/>
    </xf>
    <xf numFmtId="164" fontId="0" fillId="2" borderId="0" xfId="0" applyNumberFormat="1" applyFill="1"/>
    <xf numFmtId="164" fontId="0" fillId="4" borderId="0" xfId="0" applyNumberFormat="1" applyFill="1"/>
    <xf numFmtId="0" fontId="0" fillId="2" borderId="0" xfId="0" applyFill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165" fontId="0" fillId="2" borderId="0" xfId="0" applyNumberFormat="1" applyFill="1" applyAlignment="1">
      <alignment horizontal="center"/>
    </xf>
    <xf numFmtId="165" fontId="0" fillId="4" borderId="0" xfId="0" applyNumberFormat="1" applyFill="1"/>
    <xf numFmtId="0" fontId="11" fillId="0" borderId="0" xfId="0" applyFont="1" applyAlignment="1">
      <alignment horizontal="left"/>
    </xf>
    <xf numFmtId="0" fontId="2" fillId="2" borderId="0" xfId="1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left"/>
    </xf>
    <xf numFmtId="2" fontId="4" fillId="0" borderId="0" xfId="0" applyNumberFormat="1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center" textRotation="90" wrapText="1"/>
    </xf>
    <xf numFmtId="2" fontId="0" fillId="0" borderId="0" xfId="0" applyNumberFormat="1" applyAlignment="1">
      <alignment horizontal="center"/>
    </xf>
    <xf numFmtId="2" fontId="8" fillId="0" borderId="0" xfId="0" applyNumberFormat="1" applyFont="1" applyAlignment="1">
      <alignment horizontal="center"/>
    </xf>
    <xf numFmtId="0" fontId="3" fillId="0" borderId="0" xfId="1" applyFont="1" applyAlignment="1" applyProtection="1">
      <alignment horizontal="center"/>
      <protection locked="0"/>
    </xf>
    <xf numFmtId="14" fontId="3" fillId="0" borderId="0" xfId="1" applyNumberFormat="1" applyFont="1" applyAlignment="1">
      <alignment horizontal="center"/>
    </xf>
    <xf numFmtId="0" fontId="3" fillId="0" borderId="0" xfId="1" applyFont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164" fontId="4" fillId="2" borderId="0" xfId="0" applyNumberFormat="1" applyFont="1" applyFill="1" applyAlignment="1">
      <alignment horizontal="left"/>
    </xf>
    <xf numFmtId="0" fontId="1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left"/>
    </xf>
    <xf numFmtId="2" fontId="6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left"/>
    </xf>
    <xf numFmtId="0" fontId="20" fillId="0" borderId="0" xfId="0" applyFont="1"/>
    <xf numFmtId="2" fontId="0" fillId="4" borderId="16" xfId="0" applyNumberFormat="1" applyFill="1" applyBorder="1" applyAlignment="1">
      <alignment horizontal="center"/>
    </xf>
    <xf numFmtId="0" fontId="3" fillId="2" borderId="0" xfId="1" quotePrefix="1" applyFont="1" applyFill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1" fillId="0" borderId="0" xfId="0" applyFont="1"/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6" borderId="0" xfId="0" applyFill="1"/>
    <xf numFmtId="0" fontId="19" fillId="7" borderId="0" xfId="0" applyFont="1" applyFill="1"/>
    <xf numFmtId="0" fontId="12" fillId="7" borderId="2" xfId="0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0" fillId="0" borderId="2" xfId="0" applyBorder="1" applyAlignment="1">
      <alignment horizontal="center"/>
    </xf>
  </cellXfs>
  <cellStyles count="4">
    <cellStyle name="Hyperlink" xfId="3" builtinId="8"/>
    <cellStyle name="Normal" xfId="0" builtinId="0"/>
    <cellStyle name="Normal 2" xfId="1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52754</xdr:colOff>
      <xdr:row>0</xdr:row>
      <xdr:rowOff>53487</xdr:rowOff>
    </xdr:from>
    <xdr:to>
      <xdr:col>0</xdr:col>
      <xdr:colOff>734891</xdr:colOff>
      <xdr:row>3</xdr:row>
      <xdr:rowOff>139212</xdr:rowOff>
    </xdr:to>
    <xdr:pic>
      <xdr:nvPicPr>
        <xdr:cNvPr id="2" name="Picture 1" descr="odotpin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4" y="53487"/>
          <a:ext cx="682137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52754</xdr:colOff>
      <xdr:row>47</xdr:row>
      <xdr:rowOff>53487</xdr:rowOff>
    </xdr:from>
    <xdr:to>
      <xdr:col>0</xdr:col>
      <xdr:colOff>734891</xdr:colOff>
      <xdr:row>50</xdr:row>
      <xdr:rowOff>139212</xdr:rowOff>
    </xdr:to>
    <xdr:pic>
      <xdr:nvPicPr>
        <xdr:cNvPr id="3" name="Picture 2" descr="odotpin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4" y="53487"/>
          <a:ext cx="682137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52754</xdr:colOff>
      <xdr:row>97</xdr:row>
      <xdr:rowOff>53487</xdr:rowOff>
    </xdr:from>
    <xdr:to>
      <xdr:col>0</xdr:col>
      <xdr:colOff>734891</xdr:colOff>
      <xdr:row>100</xdr:row>
      <xdr:rowOff>139212</xdr:rowOff>
    </xdr:to>
    <xdr:pic>
      <xdr:nvPicPr>
        <xdr:cNvPr id="5" name="Picture 4" descr="odotpins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4" y="9473712"/>
          <a:ext cx="682137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52754</xdr:colOff>
      <xdr:row>144</xdr:row>
      <xdr:rowOff>53487</xdr:rowOff>
    </xdr:from>
    <xdr:to>
      <xdr:col>0</xdr:col>
      <xdr:colOff>734891</xdr:colOff>
      <xdr:row>147</xdr:row>
      <xdr:rowOff>139212</xdr:rowOff>
    </xdr:to>
    <xdr:pic>
      <xdr:nvPicPr>
        <xdr:cNvPr id="6" name="Picture 5" descr="odotpins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4" y="18865362"/>
          <a:ext cx="682137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52754</xdr:colOff>
      <xdr:row>0</xdr:row>
      <xdr:rowOff>53487</xdr:rowOff>
    </xdr:from>
    <xdr:to>
      <xdr:col>0</xdr:col>
      <xdr:colOff>734891</xdr:colOff>
      <xdr:row>3</xdr:row>
      <xdr:rowOff>139212</xdr:rowOff>
    </xdr:to>
    <xdr:pic>
      <xdr:nvPicPr>
        <xdr:cNvPr id="2" name="Picture 1" descr="odotpin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54" y="53487"/>
          <a:ext cx="682137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92</xdr:row>
      <xdr:rowOff>47625</xdr:rowOff>
    </xdr:from>
    <xdr:to>
      <xdr:col>10</xdr:col>
      <xdr:colOff>48482</xdr:colOff>
      <xdr:row>109</xdr:row>
      <xdr:rowOff>152867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6C1FD5B-5F99-40C9-B655-99AAE14BE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49875"/>
          <a:ext cx="6144482" cy="33437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bar@" TargetMode="External"/><Relationship Id="rId1" Type="http://schemas.openxmlformats.org/officeDocument/2006/relationships/hyperlink" Target="mailto:bar@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92"/>
  <sheetViews>
    <sheetView tabSelected="1" topLeftCell="A17" zoomScaleNormal="100" zoomScaleSheetLayoutView="90" workbookViewId="0">
      <selection activeCell="E27" sqref="E27"/>
    </sheetView>
  </sheetViews>
  <sheetFormatPr defaultRowHeight="15" x14ac:dyDescent="0.25"/>
  <cols>
    <col min="1" max="1" width="11.7109375" customWidth="1"/>
    <col min="2" max="2" width="8.85546875" customWidth="1"/>
    <col min="3" max="6" width="5.7109375" customWidth="1"/>
    <col min="7" max="7" width="6.7109375" customWidth="1"/>
    <col min="8" max="8" width="5.7109375" customWidth="1"/>
    <col min="9" max="10" width="6.7109375" customWidth="1"/>
    <col min="11" max="11" width="10.7109375" customWidth="1"/>
    <col min="12" max="12" width="1.7109375" style="12" customWidth="1"/>
    <col min="13" max="13" width="3.7109375" customWidth="1"/>
    <col min="14" max="118" width="5.7109375" customWidth="1"/>
  </cols>
  <sheetData>
    <row r="1" spans="1:25" x14ac:dyDescent="0.25">
      <c r="A1" s="114"/>
      <c r="B1" s="1" t="s">
        <v>222</v>
      </c>
      <c r="C1" s="2"/>
      <c r="D1" s="2"/>
      <c r="E1" s="18"/>
      <c r="F1" s="18"/>
      <c r="G1" s="3" t="s">
        <v>0</v>
      </c>
      <c r="H1" s="4" t="s">
        <v>270</v>
      </c>
      <c r="I1" s="5"/>
      <c r="J1" s="3" t="s">
        <v>1</v>
      </c>
      <c r="K1" s="50">
        <v>44586</v>
      </c>
    </row>
    <row r="2" spans="1:25" x14ac:dyDescent="0.25">
      <c r="A2" s="114"/>
      <c r="B2" s="3" t="s">
        <v>2</v>
      </c>
      <c r="C2" s="7" t="s">
        <v>268</v>
      </c>
      <c r="D2" s="7"/>
      <c r="E2" s="79"/>
      <c r="F2" s="18"/>
      <c r="G2" s="5"/>
      <c r="H2" s="18"/>
      <c r="I2" s="5"/>
      <c r="J2" s="5"/>
      <c r="K2" s="5"/>
    </row>
    <row r="3" spans="1:25" x14ac:dyDescent="0.25">
      <c r="A3" s="114"/>
      <c r="B3" s="3" t="s">
        <v>4</v>
      </c>
      <c r="C3" s="102" t="s">
        <v>269</v>
      </c>
      <c r="D3" s="8"/>
      <c r="E3" s="18"/>
      <c r="F3" s="18"/>
      <c r="G3" s="3" t="s">
        <v>3</v>
      </c>
      <c r="H3" s="6"/>
      <c r="I3" s="5"/>
      <c r="J3" s="3" t="s">
        <v>1</v>
      </c>
      <c r="K3" s="50"/>
    </row>
    <row r="4" spans="1:25" x14ac:dyDescent="0.25">
      <c r="A4" s="114"/>
      <c r="B4" s="3" t="s">
        <v>165</v>
      </c>
      <c r="C4" s="7" t="s">
        <v>267</v>
      </c>
      <c r="D4" s="16"/>
      <c r="E4" s="79"/>
      <c r="F4" s="18"/>
      <c r="G4" s="18"/>
      <c r="H4" s="5"/>
      <c r="I4" s="5"/>
      <c r="J4" s="9"/>
      <c r="K4" s="9"/>
    </row>
    <row r="5" spans="1:25" x14ac:dyDescent="0.25">
      <c r="A5" s="18"/>
      <c r="B5" s="3"/>
      <c r="C5" s="8"/>
      <c r="D5" s="8"/>
      <c r="E5" s="18"/>
      <c r="F5" s="18"/>
      <c r="G5" s="18"/>
      <c r="H5" s="2" t="s">
        <v>5</v>
      </c>
      <c r="I5" s="10">
        <v>1</v>
      </c>
      <c r="J5" s="11" t="s">
        <v>6</v>
      </c>
      <c r="K5" s="80">
        <v>5</v>
      </c>
    </row>
    <row r="6" spans="1:25" s="12" customFormat="1" ht="5.0999999999999996" customHeight="1" x14ac:dyDescent="0.25"/>
    <row r="7" spans="1:25" x14ac:dyDescent="0.25">
      <c r="A7" s="13" t="s">
        <v>57</v>
      </c>
      <c r="K7" s="93" t="s">
        <v>186</v>
      </c>
    </row>
    <row r="8" spans="1:25" x14ac:dyDescent="0.25">
      <c r="A8" s="14" t="s">
        <v>24</v>
      </c>
      <c r="B8" t="str">
        <f t="shared" ref="B8:B13" si="0">CONCATENATE(N8,O8,P8,Q8,R8,S8,T8,U8,V8,W8,X8,Y8,Z8,AA8,AB8)</f>
        <v>0.15 kcf x [(Hww x Tstem) + (Hbw x Tstem) + (Haseat x Taseat)] / Labut</v>
      </c>
      <c r="N8" t="s">
        <v>348</v>
      </c>
    </row>
    <row r="9" spans="1:25" x14ac:dyDescent="0.25">
      <c r="A9" s="14" t="s">
        <v>24</v>
      </c>
      <c r="B9" t="str">
        <f t="shared" si="0"/>
        <v xml:space="preserve">0.15 kcf x [( 278  ) cf + ( 407.469  ) cf + ( 29.196 cf )] / 48.5 ft = 2.21 k/ft </v>
      </c>
      <c r="N9" s="16">
        <v>0.15</v>
      </c>
      <c r="O9" t="s">
        <v>344</v>
      </c>
      <c r="P9" s="17">
        <f>ROUND(Calcs!D5*Calcs!D6*Calcs!D12, 3)</f>
        <v>278</v>
      </c>
      <c r="Q9" t="s">
        <v>345</v>
      </c>
      <c r="R9" s="17">
        <f>ROUND(Calcs!D7*Calcs!D8*Calcs!D12, 3)</f>
        <v>407.46899999999999</v>
      </c>
      <c r="S9" t="s">
        <v>345</v>
      </c>
      <c r="T9" s="17">
        <f>ROUND(Calcs!D9*Calcs!D10*Calcs!D11,3)</f>
        <v>29.196000000000002</v>
      </c>
      <c r="U9" t="s">
        <v>346</v>
      </c>
      <c r="V9" s="16">
        <v>48.5</v>
      </c>
      <c r="W9" t="s">
        <v>19</v>
      </c>
      <c r="X9" s="17">
        <f>ROUND(N9*(P9+R9+T9)/V9, 2)</f>
        <v>2.21</v>
      </c>
      <c r="Y9" t="s">
        <v>347</v>
      </c>
    </row>
    <row r="10" spans="1:25" x14ac:dyDescent="0.25">
      <c r="A10" s="14"/>
    </row>
    <row r="11" spans="1:25" x14ac:dyDescent="0.25">
      <c r="A11" s="14" t="s">
        <v>183</v>
      </c>
      <c r="B11" t="str">
        <f t="shared" si="0"/>
        <v>341.9 kips* / 48.5 ft = 7.05 k/ft      *(See Calc Sheets)</v>
      </c>
      <c r="N11" s="16">
        <f>ROUND(2*Calcs!AD33+6*Calcs!AD36+Calcs!T40+Calcs!V48+Calcs!X60,2)</f>
        <v>341.9</v>
      </c>
      <c r="O11" t="s">
        <v>333</v>
      </c>
      <c r="P11" s="16">
        <v>48.5</v>
      </c>
      <c r="Q11" t="s">
        <v>19</v>
      </c>
      <c r="R11" s="17">
        <f>ROUND(N11/P11,2)</f>
        <v>7.05</v>
      </c>
      <c r="S11" t="s">
        <v>334</v>
      </c>
    </row>
    <row r="12" spans="1:25" x14ac:dyDescent="0.25">
      <c r="A12" s="14"/>
    </row>
    <row r="13" spans="1:25" x14ac:dyDescent="0.25">
      <c r="A13" s="14" t="s">
        <v>182</v>
      </c>
      <c r="B13" t="str">
        <f t="shared" si="0"/>
        <v>88.78k / 48.5 ft = 1.83 k/ft</v>
      </c>
      <c r="N13" s="16">
        <f>Calcs!AB61+Calcs!C62</f>
        <v>88.78</v>
      </c>
      <c r="O13" t="s">
        <v>180</v>
      </c>
      <c r="P13" s="17">
        <f>P11</f>
        <v>48.5</v>
      </c>
      <c r="Q13" t="s">
        <v>19</v>
      </c>
      <c r="R13" s="17">
        <f>ROUND((N13/P13),2)</f>
        <v>1.83</v>
      </c>
      <c r="S13" t="s">
        <v>13</v>
      </c>
    </row>
    <row r="14" spans="1:25" x14ac:dyDescent="0.25">
      <c r="A14" s="13"/>
    </row>
    <row r="15" spans="1:25" x14ac:dyDescent="0.25">
      <c r="A15" s="14" t="s">
        <v>8</v>
      </c>
      <c r="B15" t="s">
        <v>11</v>
      </c>
    </row>
    <row r="16" spans="1:25" x14ac:dyDescent="0.25">
      <c r="A16" s="14"/>
      <c r="B16" t="s">
        <v>10</v>
      </c>
    </row>
    <row r="17" spans="1:23" x14ac:dyDescent="0.25">
      <c r="A17" s="14" t="s">
        <v>9</v>
      </c>
      <c r="B17" t="str">
        <f>CONCATENATE(N17,O17,P17,Q17,R17,S17,T17,U17,V17,W17,X17,Y17,Z17,AA17,AB17)</f>
        <v>0.2 x 1.958 k/ft = 0.39 k/ft</v>
      </c>
      <c r="N17" s="16">
        <v>0.2</v>
      </c>
      <c r="O17" t="s">
        <v>7</v>
      </c>
      <c r="P17" s="16">
        <f>ROUND(Calcs!V48/48.5, 3)</f>
        <v>1.958</v>
      </c>
      <c r="Q17" t="s">
        <v>12</v>
      </c>
      <c r="R17" s="17">
        <f>ROUND((N17*P17),2)</f>
        <v>0.39</v>
      </c>
      <c r="S17" t="s">
        <v>13</v>
      </c>
    </row>
    <row r="18" spans="1:23" x14ac:dyDescent="0.25">
      <c r="A18" s="14" t="s">
        <v>14</v>
      </c>
      <c r="B18" t="str">
        <f>CONCATENATE(N18,O18,P18,Q18,R18,S18,T18,U18,V18,W18,X18,Y18,Z18,AA18,AB18)</f>
        <v>0.39 k/ft x SIN(0.684) = 0.005 k/ft</v>
      </c>
      <c r="N18" s="17">
        <f>R17</f>
        <v>0.39</v>
      </c>
      <c r="O18" t="s">
        <v>16</v>
      </c>
      <c r="P18" s="16">
        <v>0.68400000000000005</v>
      </c>
      <c r="Q18" t="s">
        <v>15</v>
      </c>
      <c r="R18" s="17">
        <f>ROUND(N18*SIN(RADIANS(P18)),3)</f>
        <v>5.0000000000000001E-3</v>
      </c>
      <c r="S18" t="s">
        <v>13</v>
      </c>
    </row>
    <row r="19" spans="1:23" x14ac:dyDescent="0.25">
      <c r="A19" s="14"/>
    </row>
    <row r="20" spans="1:23" x14ac:dyDescent="0.25">
      <c r="A20" s="15" t="s">
        <v>17</v>
      </c>
      <c r="I20" s="14" t="s">
        <v>187</v>
      </c>
      <c r="J20" s="92">
        <v>0.3</v>
      </c>
    </row>
    <row r="21" spans="1:23" x14ac:dyDescent="0.25">
      <c r="A21" s="14" t="s">
        <v>188</v>
      </c>
      <c r="B21" t="str">
        <f>CONCATENATE(N21,O21,P21,Q21,R21,S21,T21,U21,V21,W21,X21,Y21,Z21,AA21,AB21)</f>
        <v xml:space="preserve">ka x ɣ x (Hbreastwall) = </v>
      </c>
      <c r="N21" t="s">
        <v>350</v>
      </c>
    </row>
    <row r="22" spans="1:23" x14ac:dyDescent="0.25">
      <c r="A22" s="14" t="s">
        <v>188</v>
      </c>
      <c r="B22" t="str">
        <f>CONCATENATE(N22,O22,P22,Q22,R22,S22,T22,U22,V22,W22,X22,Y22,Z22,AA22,AB22)</f>
        <v>0.3 x 0.12 kcf x 5.015 ft = 0.18 k/ft</v>
      </c>
      <c r="N22" s="41">
        <f>J20</f>
        <v>0.3</v>
      </c>
      <c r="O22" t="s">
        <v>7</v>
      </c>
      <c r="P22" s="16">
        <v>0.12</v>
      </c>
      <c r="Q22" t="s">
        <v>21</v>
      </c>
      <c r="R22" s="17">
        <f>Calcs!D7</f>
        <v>5.0149999999999997</v>
      </c>
      <c r="S22" t="s">
        <v>19</v>
      </c>
      <c r="T22" s="17">
        <f>ROUND(N22*P22*R22,2)</f>
        <v>0.18</v>
      </c>
      <c r="U22" t="s">
        <v>13</v>
      </c>
    </row>
    <row r="23" spans="1:23" x14ac:dyDescent="0.25">
      <c r="A23" s="14"/>
    </row>
    <row r="24" spans="1:23" x14ac:dyDescent="0.25">
      <c r="A24" s="14" t="s">
        <v>189</v>
      </c>
      <c r="B24" t="str">
        <f>CONCATENATE(N24,O24,P24,Q24,R24,S24,T24,U24,V24,W24,X24,Y24,Z24,AA24,AB24)</f>
        <v xml:space="preserve">1/2 x Ep x (Hbreastwall) = </v>
      </c>
      <c r="N24" t="s">
        <v>351</v>
      </c>
    </row>
    <row r="25" spans="1:23" x14ac:dyDescent="0.25">
      <c r="A25" s="14" t="s">
        <v>189</v>
      </c>
      <c r="B25" t="str">
        <f>CONCATENATE(N25,O25,P25,Q25,R25,S25,T25,U25,V25,W25,X25,Y25,Z25,AA25,AB25)</f>
        <v>1 / 2 x 0.18 k/ft x 5.015 ft = 0.45 k/ft</v>
      </c>
      <c r="N25" s="16">
        <v>1</v>
      </c>
      <c r="O25" t="s">
        <v>20</v>
      </c>
      <c r="P25" s="16">
        <v>2</v>
      </c>
      <c r="Q25" t="s">
        <v>7</v>
      </c>
      <c r="R25" s="41">
        <f>T22</f>
        <v>0.18</v>
      </c>
      <c r="S25" t="s">
        <v>179</v>
      </c>
      <c r="T25" s="17">
        <f>R22</f>
        <v>5.0149999999999997</v>
      </c>
      <c r="U25" t="s">
        <v>19</v>
      </c>
      <c r="V25" s="17">
        <f>ROUND((N25/P25)*R25*T25,2)</f>
        <v>0.45</v>
      </c>
      <c r="W25" t="s">
        <v>13</v>
      </c>
    </row>
    <row r="26" spans="1:23" x14ac:dyDescent="0.25">
      <c r="A26" s="14"/>
    </row>
    <row r="27" spans="1:23" x14ac:dyDescent="0.25">
      <c r="A27" s="14" t="s">
        <v>40</v>
      </c>
      <c r="B27" t="str">
        <f t="shared" ref="B27:B30" si="1">CONCATENATE(N27,O27,P27,Q27,R27,S27,T27,U27,V27,W27,X27,Y27,Z27,AA27,AB27)</f>
        <v>0.33 for Strength I</v>
      </c>
      <c r="E27" s="49" t="s">
        <v>120</v>
      </c>
      <c r="K27" s="40" t="s">
        <v>62</v>
      </c>
      <c r="N27" s="16">
        <v>0.33</v>
      </c>
      <c r="O27" t="s">
        <v>41</v>
      </c>
    </row>
    <row r="28" spans="1:23" x14ac:dyDescent="0.25">
      <c r="A28" s="14" t="s">
        <v>42</v>
      </c>
      <c r="B28" t="str">
        <f t="shared" si="1"/>
        <v>1.33 x (532k / 48.5 ft) = 14.59 k/ft</v>
      </c>
      <c r="N28" s="17">
        <f>1+N27</f>
        <v>1.33</v>
      </c>
      <c r="O28" t="s">
        <v>77</v>
      </c>
      <c r="P28" s="16">
        <f>66.5*8</f>
        <v>532</v>
      </c>
      <c r="Q28" t="s">
        <v>180</v>
      </c>
      <c r="R28" s="17">
        <f>P13</f>
        <v>48.5</v>
      </c>
      <c r="S28" t="s">
        <v>121</v>
      </c>
      <c r="T28" s="17">
        <f>ROUND(N28*(P28/R28),2)</f>
        <v>14.59</v>
      </c>
      <c r="U28" t="s">
        <v>13</v>
      </c>
    </row>
    <row r="29" spans="1:23" x14ac:dyDescent="0.25">
      <c r="A29" s="14"/>
    </row>
    <row r="30" spans="1:23" x14ac:dyDescent="0.25">
      <c r="A30" s="14" t="s">
        <v>184</v>
      </c>
      <c r="B30" t="str">
        <f t="shared" si="1"/>
        <v>34.2 k / 48.5 ft = 0.71 k/ft</v>
      </c>
      <c r="N30" s="16">
        <f>Calcs!B86</f>
        <v>34.199999999999996</v>
      </c>
      <c r="O30" t="s">
        <v>185</v>
      </c>
      <c r="P30" s="17">
        <f>R28</f>
        <v>48.5</v>
      </c>
      <c r="Q30" t="s">
        <v>19</v>
      </c>
      <c r="R30" s="17">
        <f>ROUND(N30/P30,2)</f>
        <v>0.71</v>
      </c>
      <c r="S30" t="s">
        <v>13</v>
      </c>
    </row>
    <row r="31" spans="1:23" x14ac:dyDescent="0.25">
      <c r="A31" s="14"/>
    </row>
    <row r="32" spans="1:23" x14ac:dyDescent="0.25">
      <c r="A32" s="14" t="s">
        <v>31</v>
      </c>
      <c r="B32" t="str">
        <f>CONCATENATE(N32,O32,P32,Q32,R32,S32,T32,U32,V32,W32,X32,Y32,Z32,AA32,AB32)</f>
        <v>Live Load Surcharge 3.11.6.4</v>
      </c>
      <c r="N32" t="s">
        <v>32</v>
      </c>
    </row>
    <row r="33" spans="1:24" x14ac:dyDescent="0.25">
      <c r="A33" s="14" t="s">
        <v>33</v>
      </c>
      <c r="B33" t="str">
        <f>CONCATENATE(N33,O33,P33,Q33,R33,S33,T33,U33,V33,W33,X33,Y33,Z33,AA33,AB33)</f>
        <v>3</v>
      </c>
      <c r="N33" s="16">
        <v>3</v>
      </c>
      <c r="O33" s="96"/>
    </row>
    <row r="34" spans="1:24" x14ac:dyDescent="0.25">
      <c r="A34" s="14" t="s">
        <v>31</v>
      </c>
      <c r="B34" t="str">
        <f>CONCATENATE(N34,O34,P34,Q34,R34,S34,T34,U34,V34,W34,X34,Y34,Z34,AA34,AB34)</f>
        <v>ɣ x (Heq x (Hbreastwall)) x ka = 0.12 kcf x 3ft x 5.015 ft x 0.3 = 0.54 k/ft</v>
      </c>
      <c r="N34" t="s">
        <v>352</v>
      </c>
      <c r="O34" s="16">
        <v>0.12</v>
      </c>
      <c r="P34" t="s">
        <v>21</v>
      </c>
      <c r="Q34" s="17">
        <f>N33</f>
        <v>3</v>
      </c>
      <c r="R34" t="s">
        <v>264</v>
      </c>
      <c r="S34" s="17">
        <f>R22</f>
        <v>5.0149999999999997</v>
      </c>
      <c r="T34" t="s">
        <v>18</v>
      </c>
      <c r="U34" s="41">
        <f>J20</f>
        <v>0.3</v>
      </c>
      <c r="V34" t="s">
        <v>34</v>
      </c>
      <c r="W34" s="17">
        <f>ROUND(O34*Q34*S34*U34,2)</f>
        <v>0.54</v>
      </c>
      <c r="X34" t="s">
        <v>13</v>
      </c>
    </row>
    <row r="35" spans="1:24" ht="15.75" thickBot="1" x14ac:dyDescent="0.3">
      <c r="A35" s="14"/>
    </row>
    <row r="36" spans="1:24" ht="61.5" customHeight="1" thickBot="1" x14ac:dyDescent="0.3">
      <c r="A36" s="33" t="s">
        <v>25</v>
      </c>
      <c r="B36" s="32" t="s">
        <v>26</v>
      </c>
      <c r="C36" s="29" t="s">
        <v>44</v>
      </c>
      <c r="D36" s="29" t="s">
        <v>46</v>
      </c>
      <c r="E36" s="30"/>
      <c r="F36" s="29" t="s">
        <v>45</v>
      </c>
      <c r="G36" s="31" t="s">
        <v>47</v>
      </c>
    </row>
    <row r="37" spans="1:24" x14ac:dyDescent="0.25">
      <c r="A37" s="34" t="s">
        <v>27</v>
      </c>
      <c r="B37" s="37">
        <v>1.25</v>
      </c>
      <c r="C37" s="66">
        <f>$X$9</f>
        <v>2.21</v>
      </c>
      <c r="D37" s="52"/>
      <c r="E37" s="52"/>
      <c r="F37" s="53">
        <v>0</v>
      </c>
      <c r="G37" s="54">
        <f t="shared" ref="G37:G45" si="2">ROUND(B37*C37*F37,2)</f>
        <v>0</v>
      </c>
      <c r="I37" s="51"/>
    </row>
    <row r="38" spans="1:24" x14ac:dyDescent="0.25">
      <c r="A38" s="35" t="s">
        <v>118</v>
      </c>
      <c r="B38" s="38">
        <v>1.25</v>
      </c>
      <c r="C38" s="67">
        <f>R11</f>
        <v>7.05</v>
      </c>
      <c r="D38" s="46"/>
      <c r="E38" s="46"/>
      <c r="F38" s="60">
        <v>0.75</v>
      </c>
      <c r="G38" s="55">
        <f t="shared" si="2"/>
        <v>6.61</v>
      </c>
    </row>
    <row r="39" spans="1:24" x14ac:dyDescent="0.25">
      <c r="A39" s="35" t="s">
        <v>28</v>
      </c>
      <c r="B39" s="38">
        <v>1.5</v>
      </c>
      <c r="C39" s="67">
        <f>R13</f>
        <v>1.83</v>
      </c>
      <c r="D39" s="46"/>
      <c r="E39" s="46"/>
      <c r="F39" s="53">
        <v>0</v>
      </c>
      <c r="G39" s="55">
        <f t="shared" si="2"/>
        <v>0</v>
      </c>
    </row>
    <row r="40" spans="1:24" x14ac:dyDescent="0.25">
      <c r="A40" s="61" t="s">
        <v>119</v>
      </c>
      <c r="B40" s="62"/>
      <c r="C40" s="63"/>
      <c r="D40" s="64"/>
      <c r="E40" s="64"/>
      <c r="F40" s="64"/>
      <c r="G40" s="65"/>
    </row>
    <row r="41" spans="1:24" x14ac:dyDescent="0.25">
      <c r="A41" s="35" t="s">
        <v>190</v>
      </c>
      <c r="B41" s="38">
        <v>1.35</v>
      </c>
      <c r="C41" s="68">
        <f>$V$25</f>
        <v>0.45</v>
      </c>
      <c r="D41" s="56">
        <f>ROUND(B41*C41,2)</f>
        <v>0.61</v>
      </c>
      <c r="E41" s="46"/>
      <c r="F41" s="56">
        <f>ROUND($T$25/3,2)</f>
        <v>1.67</v>
      </c>
      <c r="G41" s="55">
        <f t="shared" si="2"/>
        <v>1.01</v>
      </c>
      <c r="O41">
        <v>67.02</v>
      </c>
    </row>
    <row r="42" spans="1:24" x14ac:dyDescent="0.25">
      <c r="A42" s="35" t="s">
        <v>43</v>
      </c>
      <c r="B42" s="38">
        <v>1.2</v>
      </c>
      <c r="C42" s="68">
        <f>$R$18</f>
        <v>5.0000000000000001E-3</v>
      </c>
      <c r="D42" s="56">
        <f>ROUND(B42*C42,2)</f>
        <v>0.01</v>
      </c>
      <c r="E42" s="46"/>
      <c r="F42" s="113">
        <f>T25</f>
        <v>5.0149999999999997</v>
      </c>
      <c r="G42" s="55">
        <f t="shared" si="2"/>
        <v>0.03</v>
      </c>
    </row>
    <row r="43" spans="1:24" x14ac:dyDescent="0.25">
      <c r="A43" s="35" t="s">
        <v>29</v>
      </c>
      <c r="B43" s="38">
        <v>1.75</v>
      </c>
      <c r="C43" s="68">
        <f>$T$28</f>
        <v>14.59</v>
      </c>
      <c r="D43" s="46"/>
      <c r="E43" s="46"/>
      <c r="F43" s="113">
        <v>0.75</v>
      </c>
      <c r="G43" s="55">
        <f t="shared" si="2"/>
        <v>19.149999999999999</v>
      </c>
    </row>
    <row r="44" spans="1:24" x14ac:dyDescent="0.25">
      <c r="A44" s="35" t="s">
        <v>39</v>
      </c>
      <c r="B44" s="38">
        <v>1.75</v>
      </c>
      <c r="C44" s="68">
        <f>R30</f>
        <v>0.71</v>
      </c>
      <c r="D44" s="56">
        <f>ROUND(B44*C44,2)</f>
        <v>1.24</v>
      </c>
      <c r="E44" s="46"/>
      <c r="F44" s="113">
        <f>T25</f>
        <v>5.0149999999999997</v>
      </c>
      <c r="G44" s="55">
        <f t="shared" si="2"/>
        <v>6.23</v>
      </c>
    </row>
    <row r="45" spans="1:24" ht="15" customHeight="1" thickBot="1" x14ac:dyDescent="0.3">
      <c r="A45" s="36" t="s">
        <v>30</v>
      </c>
      <c r="B45" s="39">
        <v>1.75</v>
      </c>
      <c r="C45" s="69">
        <f>$W$34</f>
        <v>0.54</v>
      </c>
      <c r="D45" s="57">
        <f>ROUND(B45*C45,2)</f>
        <v>0.95</v>
      </c>
      <c r="E45" s="58"/>
      <c r="F45" s="57">
        <f>$R$22/2</f>
        <v>2.5074999999999998</v>
      </c>
      <c r="G45" s="59">
        <f t="shared" si="2"/>
        <v>2.37</v>
      </c>
    </row>
    <row r="46" spans="1:24" s="24" customFormat="1" x14ac:dyDescent="0.25">
      <c r="A46" s="23"/>
      <c r="C46" s="23" t="s">
        <v>59</v>
      </c>
      <c r="D46" s="25">
        <f>SUM(D37:D45)</f>
        <v>2.8099999999999996</v>
      </c>
      <c r="E46" s="24" t="s">
        <v>157</v>
      </c>
      <c r="F46" s="23" t="s">
        <v>81</v>
      </c>
      <c r="G46" s="25">
        <f>SUM(G37:G45)</f>
        <v>35.4</v>
      </c>
      <c r="H46" s="24" t="s">
        <v>79</v>
      </c>
      <c r="L46" s="26"/>
    </row>
    <row r="47" spans="1:24" x14ac:dyDescent="0.25">
      <c r="A47" s="97" t="str">
        <f ca="1">CELL("filename")</f>
        <v>c:\users\mclark3\appdata\local\bentley\projectwise\workingdir\ohiodot-pw.bentley.com_ohiodot-pw-02\michael.clark@dot.ohio.gov\d0512215\[108525-Abutment Pile Loading.xlsx]Calcs</v>
      </c>
    </row>
    <row r="48" spans="1:24" x14ac:dyDescent="0.25">
      <c r="A48" s="114"/>
      <c r="B48" s="1" t="s">
        <v>222</v>
      </c>
      <c r="C48" s="2"/>
      <c r="D48" s="2"/>
      <c r="E48" s="18"/>
      <c r="F48" s="18"/>
      <c r="G48" s="3" t="s">
        <v>0</v>
      </c>
      <c r="H48" s="4" t="str">
        <f>$H$1</f>
        <v>MVC</v>
      </c>
      <c r="I48" s="5"/>
      <c r="J48" s="3" t="s">
        <v>1</v>
      </c>
      <c r="K48" s="50">
        <f>$K$1</f>
        <v>44586</v>
      </c>
    </row>
    <row r="49" spans="1:33" x14ac:dyDescent="0.25">
      <c r="A49" s="114"/>
      <c r="B49" s="3" t="s">
        <v>2</v>
      </c>
      <c r="C49" s="7" t="str">
        <f>$C$2</f>
        <v>HOL-00083-11.960</v>
      </c>
      <c r="D49" s="7"/>
      <c r="E49" s="79"/>
      <c r="F49" s="18"/>
      <c r="G49" s="5"/>
      <c r="H49" s="18"/>
      <c r="I49" s="5"/>
      <c r="J49" s="5"/>
      <c r="K49" s="5"/>
    </row>
    <row r="50" spans="1:33" x14ac:dyDescent="0.25">
      <c r="A50" s="114"/>
      <c r="B50" s="3" t="s">
        <v>4</v>
      </c>
      <c r="C50" s="7" t="str">
        <f>$C$3</f>
        <v>108525</v>
      </c>
      <c r="D50" s="8"/>
      <c r="E50" s="18"/>
      <c r="F50" s="18"/>
      <c r="G50" s="3" t="s">
        <v>3</v>
      </c>
      <c r="H50" s="6"/>
      <c r="I50" s="5"/>
      <c r="J50" s="3" t="s">
        <v>1</v>
      </c>
      <c r="K50" s="50"/>
    </row>
    <row r="51" spans="1:33" x14ac:dyDescent="0.25">
      <c r="A51" s="114"/>
      <c r="B51" s="3" t="s">
        <v>165</v>
      </c>
      <c r="C51" s="7" t="s">
        <v>267</v>
      </c>
      <c r="D51" s="16"/>
      <c r="E51" s="79"/>
      <c r="F51" s="18"/>
      <c r="G51" s="18"/>
      <c r="H51" s="5"/>
      <c r="I51" s="5"/>
      <c r="J51" s="9"/>
      <c r="K51" s="9"/>
    </row>
    <row r="52" spans="1:33" x14ac:dyDescent="0.25">
      <c r="A52" s="18"/>
      <c r="B52" s="3"/>
      <c r="C52" s="8"/>
      <c r="D52" s="8"/>
      <c r="E52" s="18"/>
      <c r="F52" s="18"/>
      <c r="G52" s="18"/>
      <c r="H52" s="2" t="s">
        <v>5</v>
      </c>
      <c r="I52" s="10">
        <v>2</v>
      </c>
      <c r="J52" s="11" t="s">
        <v>6</v>
      </c>
      <c r="K52" s="80">
        <v>5</v>
      </c>
    </row>
    <row r="53" spans="1:33" s="12" customFormat="1" ht="5.0999999999999996" customHeight="1" x14ac:dyDescent="0.25"/>
    <row r="54" spans="1:33" x14ac:dyDescent="0.25">
      <c r="A54" s="20" t="s">
        <v>48</v>
      </c>
    </row>
    <row r="55" spans="1:33" x14ac:dyDescent="0.25">
      <c r="A55" s="14" t="s">
        <v>49</v>
      </c>
      <c r="B55" t="str">
        <f>CONCATENATE(N55,O55,P55,Q55,R55,S55,T55,U55,V55,W55,X55,Y55,Z55,AA55,AB55)</f>
        <v>(8 + 0.02L + 0.08H)(1 + 0.000125S^2)</v>
      </c>
      <c r="K55" s="40" t="s">
        <v>61</v>
      </c>
      <c r="N55" t="s">
        <v>35</v>
      </c>
      <c r="O55" s="16">
        <v>8</v>
      </c>
      <c r="P55" t="s">
        <v>22</v>
      </c>
      <c r="Q55" s="16">
        <v>0.02</v>
      </c>
      <c r="R55" t="s">
        <v>50</v>
      </c>
      <c r="S55" t="s">
        <v>22</v>
      </c>
      <c r="T55" s="16">
        <v>0.08</v>
      </c>
      <c r="U55" t="s">
        <v>51</v>
      </c>
      <c r="V55" s="16">
        <v>1</v>
      </c>
      <c r="W55" t="s">
        <v>22</v>
      </c>
      <c r="X55" s="16">
        <v>1.25E-4</v>
      </c>
      <c r="Y55" t="s">
        <v>52</v>
      </c>
      <c r="Z55" t="s">
        <v>53</v>
      </c>
      <c r="AA55" s="16">
        <v>2</v>
      </c>
      <c r="AB55" t="s">
        <v>36</v>
      </c>
    </row>
    <row r="56" spans="1:33" x14ac:dyDescent="0.25">
      <c r="A56" s="14" t="s">
        <v>49</v>
      </c>
      <c r="B56" t="str">
        <f>CONCATENATE(N56,O56,P56,Q56,R56,S56,T56,U56,V56,W56,X56,Y56,Z56,AA56,AB56,AC56,AD56,AE56,AF56,AG56)</f>
        <v>(8 + 0.02(39.17) + 0.08(0))(1 + 0.000125(0.684^2))</v>
      </c>
      <c r="N56" t="s">
        <v>35</v>
      </c>
      <c r="O56" s="17">
        <f>O55</f>
        <v>8</v>
      </c>
      <c r="P56" t="s">
        <v>22</v>
      </c>
      <c r="Q56" s="17">
        <f>Q55</f>
        <v>0.02</v>
      </c>
      <c r="R56" t="s">
        <v>35</v>
      </c>
      <c r="S56" s="16">
        <v>39.17</v>
      </c>
      <c r="T56" t="s">
        <v>36</v>
      </c>
      <c r="U56" t="s">
        <v>22</v>
      </c>
      <c r="V56" s="17">
        <f>T55</f>
        <v>0.08</v>
      </c>
      <c r="W56" t="s">
        <v>35</v>
      </c>
      <c r="X56" s="16">
        <v>0</v>
      </c>
      <c r="Y56" t="s">
        <v>181</v>
      </c>
      <c r="Z56" s="17">
        <f>V55</f>
        <v>1</v>
      </c>
      <c r="AA56" t="s">
        <v>22</v>
      </c>
      <c r="AB56" s="17">
        <f>X55</f>
        <v>1.25E-4</v>
      </c>
      <c r="AC56" t="s">
        <v>35</v>
      </c>
      <c r="AD56" s="16">
        <f>P18</f>
        <v>0.68400000000000005</v>
      </c>
      <c r="AE56" t="s">
        <v>53</v>
      </c>
      <c r="AF56" s="17">
        <f>AA55</f>
        <v>2</v>
      </c>
      <c r="AG56" t="s">
        <v>54</v>
      </c>
    </row>
    <row r="57" spans="1:33" x14ac:dyDescent="0.25">
      <c r="A57" s="14" t="s">
        <v>49</v>
      </c>
      <c r="B57" t="str">
        <f>CONCATENATE(N57,O57,P57,Q57,R57,S57,T57,U57,V57,W57,X57,Y57,Z57,AA57,AB57,AC57,AD57,AE57,AF57,AG57)</f>
        <v>8.78 in &lt; 18in</v>
      </c>
      <c r="K57" s="48" t="str">
        <f>IF(N57&lt;Q57,"Okay","N/G")</f>
        <v>Okay</v>
      </c>
      <c r="N57" s="17">
        <f>ROUND((O56+Q56*S56)+V56*X56*(Z56+AB56*(AD56^AF56)),2)</f>
        <v>8.7799999999999994</v>
      </c>
      <c r="O57" t="s">
        <v>55</v>
      </c>
      <c r="P57" t="str">
        <f>IF(N57&lt;Q57,"&lt; ","&gt; ")</f>
        <v xml:space="preserve">&lt; </v>
      </c>
      <c r="Q57" s="16">
        <v>18</v>
      </c>
      <c r="R57" t="s">
        <v>56</v>
      </c>
    </row>
    <row r="58" spans="1:33" x14ac:dyDescent="0.25">
      <c r="X58" s="15" t="s">
        <v>178</v>
      </c>
    </row>
    <row r="59" spans="1:33" x14ac:dyDescent="0.25">
      <c r="A59" s="20" t="s">
        <v>58</v>
      </c>
      <c r="K59" s="103" t="s">
        <v>271</v>
      </c>
    </row>
    <row r="60" spans="1:33" x14ac:dyDescent="0.25">
      <c r="A60" s="14" t="s">
        <v>60</v>
      </c>
      <c r="B60" t="s">
        <v>64</v>
      </c>
      <c r="D60" s="14" t="s">
        <v>65</v>
      </c>
      <c r="E60" t="str">
        <f>CONCATENATE(N60,O60,P60,Q60,R60,S60,T60,U60,V60,W60,X60,Y60,Z60,AA60,AB60,AC60,AD60,AE60,AF60,AG60)</f>
        <v>0.24√4 ksi = 0.48 ksi</v>
      </c>
      <c r="K60" s="40" t="s">
        <v>66</v>
      </c>
      <c r="N60" s="16">
        <v>0.24</v>
      </c>
      <c r="O60" t="s">
        <v>67</v>
      </c>
      <c r="P60" s="16">
        <v>4</v>
      </c>
      <c r="Q60" t="s">
        <v>68</v>
      </c>
      <c r="R60" s="17">
        <f>ROUND(SQRT(P60)*N60,2)</f>
        <v>0.48</v>
      </c>
      <c r="S60" t="s">
        <v>69</v>
      </c>
    </row>
    <row r="61" spans="1:33" x14ac:dyDescent="0.25">
      <c r="A61" s="14"/>
    </row>
    <row r="62" spans="1:33" x14ac:dyDescent="0.25">
      <c r="A62" s="14" t="s">
        <v>70</v>
      </c>
      <c r="B62" t="str">
        <f>CONCATENATE(N62,O62,P62,Q62,R62,S62,T62,U62,V62,W62,X62,Y62,Z62,AA62,AB62,AC62,AD62,AE62,AF62,AG62)</f>
        <v>b(h^3)/12 = 12 (30^3)/12 = 27000 in4</v>
      </c>
      <c r="N62" t="s">
        <v>71</v>
      </c>
      <c r="O62" s="16">
        <v>12</v>
      </c>
      <c r="P62" t="s">
        <v>72</v>
      </c>
      <c r="Q62" s="16">
        <v>30</v>
      </c>
      <c r="R62" t="s">
        <v>53</v>
      </c>
      <c r="S62" s="16">
        <v>3</v>
      </c>
      <c r="T62" t="s">
        <v>73</v>
      </c>
      <c r="U62" s="16">
        <v>12</v>
      </c>
      <c r="V62" t="s">
        <v>34</v>
      </c>
      <c r="W62" s="17">
        <f>O62*(Q62^S62)/U62</f>
        <v>27000</v>
      </c>
      <c r="X62" t="s">
        <v>76</v>
      </c>
    </row>
    <row r="63" spans="1:33" x14ac:dyDescent="0.25">
      <c r="A63" s="14" t="s">
        <v>74</v>
      </c>
      <c r="B63" t="str">
        <f>CONCATENATE(N63,O63,P63,Q63,R63,S63,T63,U63,V63,W63,X63,Y63,Z63,AA63,AB63,AC63,AD63,AE63,AF63,AG63)</f>
        <v>30 / 2 = 15 in</v>
      </c>
      <c r="N63" s="17">
        <f>Q62</f>
        <v>30</v>
      </c>
      <c r="O63" t="s">
        <v>20</v>
      </c>
      <c r="P63" s="16">
        <v>2</v>
      </c>
      <c r="Q63" t="s">
        <v>34</v>
      </c>
      <c r="R63" s="17">
        <f>N63/P63</f>
        <v>15</v>
      </c>
      <c r="S63" t="s">
        <v>75</v>
      </c>
    </row>
    <row r="65" spans="1:26" x14ac:dyDescent="0.25">
      <c r="A65" s="14" t="s">
        <v>60</v>
      </c>
      <c r="B65" t="str">
        <f>CONCATENATE(N65,O65,P65,Q65,R65,S65,T65,U65,V65,W65,X65,Y65,Z65,AA65,AB65,AC65,AD65,AE65,AF65,AG65)</f>
        <v>fr x (Ig/yt) = 0.48 x (27000 / 15) x (1 / 12) = 72 k-ft</v>
      </c>
      <c r="K65" s="105" t="s">
        <v>272</v>
      </c>
      <c r="N65" t="s">
        <v>63</v>
      </c>
      <c r="O65" s="17">
        <f>R60</f>
        <v>0.48</v>
      </c>
      <c r="P65" t="s">
        <v>77</v>
      </c>
      <c r="Q65" s="17">
        <f>W62</f>
        <v>27000</v>
      </c>
      <c r="R65" t="s">
        <v>20</v>
      </c>
      <c r="S65" s="17">
        <f>R63</f>
        <v>15</v>
      </c>
      <c r="T65" t="s">
        <v>78</v>
      </c>
      <c r="U65" s="16">
        <v>1</v>
      </c>
      <c r="V65" t="s">
        <v>20</v>
      </c>
      <c r="W65" s="16">
        <v>12</v>
      </c>
      <c r="X65" t="s">
        <v>15</v>
      </c>
      <c r="Y65" s="19">
        <f>ROUND(O65*(Q65/S65)*(U65/W65),2)</f>
        <v>72</v>
      </c>
      <c r="Z65" t="s">
        <v>79</v>
      </c>
    </row>
    <row r="67" spans="1:26" x14ac:dyDescent="0.25">
      <c r="A67" s="14" t="s">
        <v>80</v>
      </c>
      <c r="B67" t="str">
        <f>CONCATENATE(N67,O67,P67,Q67,R67,S67,T67,U67,V67,W67,X67,Y67,Z67,AA67,AB67,AC67,AD67,AE67,AF67,AG67)</f>
        <v>1.2 x 72 k-ft = 86.4 k-ft</v>
      </c>
      <c r="N67" s="16">
        <v>1.2</v>
      </c>
      <c r="O67" t="s">
        <v>7</v>
      </c>
      <c r="P67" s="17">
        <f>Y65</f>
        <v>72</v>
      </c>
      <c r="Q67" t="s">
        <v>194</v>
      </c>
      <c r="R67" s="17">
        <f>ROUND(N67*P67,2)</f>
        <v>86.4</v>
      </c>
      <c r="S67" t="s">
        <v>79</v>
      </c>
    </row>
    <row r="69" spans="1:26" x14ac:dyDescent="0.25">
      <c r="A69" t="s">
        <v>195</v>
      </c>
    </row>
    <row r="70" spans="1:26" x14ac:dyDescent="0.25">
      <c r="K70" s="40" t="s">
        <v>192</v>
      </c>
    </row>
    <row r="71" spans="1:26" x14ac:dyDescent="0.25">
      <c r="A71" t="s">
        <v>193</v>
      </c>
      <c r="K71" s="40"/>
    </row>
    <row r="72" spans="1:26" x14ac:dyDescent="0.25">
      <c r="B72" t="str">
        <f>CONCATENATE(N72,O72,P72,Q72,R72,S72,T72,U72,V72,W72,X72,Y72,Z72,AA72,AB72,AC72,AD72,AE72,AF72,AG72)</f>
        <v>Mu = 35.4 k-ft &lt; 1.2 Mcr = 86.4 k-ft</v>
      </c>
      <c r="C72" s="22"/>
      <c r="K72" s="95" t="str">
        <f>IF(O72&gt;S72,"Design for Mu","Continue Determining Design Moment")</f>
        <v>Continue Determining Design Moment</v>
      </c>
      <c r="N72" t="s">
        <v>81</v>
      </c>
      <c r="O72" s="41">
        <f>G46</f>
        <v>35.4</v>
      </c>
      <c r="P72" t="s">
        <v>79</v>
      </c>
      <c r="Q72" t="str">
        <f>IF(O72&lt;S72," &lt; "," &gt; ")</f>
        <v xml:space="preserve"> &lt; </v>
      </c>
      <c r="R72" t="s">
        <v>80</v>
      </c>
      <c r="S72" s="17">
        <f>R67</f>
        <v>86.4</v>
      </c>
      <c r="T72" t="s">
        <v>79</v>
      </c>
    </row>
    <row r="73" spans="1:26" x14ac:dyDescent="0.25">
      <c r="K73" s="40"/>
    </row>
    <row r="74" spans="1:26" x14ac:dyDescent="0.25">
      <c r="A74" t="s">
        <v>197</v>
      </c>
      <c r="K74" s="40"/>
    </row>
    <row r="75" spans="1:26" x14ac:dyDescent="0.25">
      <c r="B75" t="str">
        <f>CONCATENATE(N75,O75,P75,Q75,R75,S75,T75,U75,V75,W75,X75,Y75,Z75,AA75,AB75,AC75,AD75,AE75,AF75,AG75)</f>
        <v>Mu = 35.4 k-ft  &lt;  1.2 Mcr = 86.4 k-ft</v>
      </c>
      <c r="C75" s="22"/>
      <c r="K75" s="95" t="str">
        <f>IF(S75&gt;O75,"Use lesser of 1.2 Mcr of 1.33 Mu","Go to previous check")</f>
        <v>Use lesser of 1.2 Mcr of 1.33 Mu</v>
      </c>
      <c r="N75" t="s">
        <v>81</v>
      </c>
      <c r="O75" s="41">
        <f>O72</f>
        <v>35.4</v>
      </c>
      <c r="P75" t="s">
        <v>198</v>
      </c>
      <c r="Q75" t="str">
        <f>IF(O75&gt;S75," &gt; "," &lt; ")</f>
        <v xml:space="preserve"> &lt; </v>
      </c>
      <c r="R75" t="s">
        <v>199</v>
      </c>
      <c r="S75" s="17">
        <f>S72</f>
        <v>86.4</v>
      </c>
      <c r="T75" t="s">
        <v>79</v>
      </c>
    </row>
    <row r="76" spans="1:26" x14ac:dyDescent="0.25">
      <c r="B76" t="str">
        <f>CONCATENATE(N76,O76,P76,Q76,R76,S76,T76,U76,V76,W76,X76,Y76,Z76,AA76,AB76,AC76,AD76,AE76,AF76,AG76)</f>
        <v>1.2 Mcr = 86.4 k-ft  &gt;  1.33 Mu = 1.33 x 35.4 k-ft = 47.08 k-ft</v>
      </c>
      <c r="K76" s="40"/>
      <c r="N76" t="s">
        <v>80</v>
      </c>
      <c r="O76" s="17">
        <f>S75</f>
        <v>86.4</v>
      </c>
      <c r="P76" t="s">
        <v>198</v>
      </c>
      <c r="Q76" t="str">
        <f>IF(O76&gt;W76," &gt; "," &lt; ")</f>
        <v xml:space="preserve"> &gt; </v>
      </c>
      <c r="R76" t="s">
        <v>200</v>
      </c>
      <c r="S76" s="16">
        <v>1.33</v>
      </c>
      <c r="T76" t="s">
        <v>7</v>
      </c>
      <c r="U76" s="41">
        <f>O75</f>
        <v>35.4</v>
      </c>
      <c r="V76" t="s">
        <v>194</v>
      </c>
      <c r="W76" s="17">
        <f>ROUND(S76*U76,2)</f>
        <v>47.08</v>
      </c>
      <c r="X76" t="s">
        <v>79</v>
      </c>
    </row>
    <row r="77" spans="1:26" x14ac:dyDescent="0.25">
      <c r="K77" s="40"/>
    </row>
    <row r="78" spans="1:26" x14ac:dyDescent="0.25">
      <c r="B78" s="24" t="str">
        <f>CONCATENATE(N78,O78,P78,Q78,R78,S78,T78,U78,V78,W78,X78,Y78,Z78,AA78,AB78,AC78,AD78,AE78,AF78,AG78)</f>
        <v>∴ The Ultimate Moment for design Mu = 47.08 k-ft</v>
      </c>
      <c r="N78" s="15" t="s">
        <v>201</v>
      </c>
      <c r="O78" s="17">
        <f>IF(O72&gt;S72,O72,MIN(O76,W76))</f>
        <v>47.08</v>
      </c>
      <c r="P78" t="s">
        <v>79</v>
      </c>
    </row>
    <row r="79" spans="1:26" x14ac:dyDescent="0.25">
      <c r="K79" s="94"/>
    </row>
    <row r="80" spans="1:26" x14ac:dyDescent="0.25">
      <c r="A80" s="13" t="s">
        <v>82</v>
      </c>
      <c r="H80" s="14" t="s">
        <v>85</v>
      </c>
      <c r="I80" s="15">
        <f>O90</f>
        <v>0.9</v>
      </c>
    </row>
    <row r="81" spans="1:28" x14ac:dyDescent="0.25">
      <c r="A81" s="14" t="s">
        <v>83</v>
      </c>
      <c r="B81" t="str">
        <f>CONCATENATE(N81,O81,P81,Q81,R81,S81,T81,U81,V81,W81,X81,Y81,Z81,AA81,AB81,AC81,AD81,AE81,AF81,AG81)</f>
        <v>ϕMn = ϕAs fy (ds - a/2)</v>
      </c>
      <c r="H81" s="43"/>
      <c r="N81" t="s">
        <v>84</v>
      </c>
    </row>
    <row r="82" spans="1:28" x14ac:dyDescent="0.25">
      <c r="A82" s="14"/>
      <c r="H82" s="43"/>
    </row>
    <row r="83" spans="1:28" x14ac:dyDescent="0.25">
      <c r="A83" t="s">
        <v>97</v>
      </c>
      <c r="E83" t="str">
        <f>CONCATENATE(N83,O83,P83,Q83,R83)</f>
        <v>No. 6 bars @ 12 in spa.</v>
      </c>
      <c r="G83" s="21"/>
      <c r="H83" s="44"/>
      <c r="I83" s="21"/>
      <c r="N83" t="s">
        <v>98</v>
      </c>
      <c r="O83" s="45">
        <v>6</v>
      </c>
      <c r="P83" s="44" t="s">
        <v>99</v>
      </c>
      <c r="Q83" s="45">
        <v>12</v>
      </c>
      <c r="R83" t="s">
        <v>122</v>
      </c>
    </row>
    <row r="84" spans="1:28" x14ac:dyDescent="0.25">
      <c r="A84" s="14" t="s">
        <v>93</v>
      </c>
      <c r="B84" t="str">
        <f>CONCATENATE(N84,O84,P84,Q84,R84,S84,T84,U84,V84,W84,X84,Y84,Z84,AA84,AB84,AC84,AD84,AE84,AF84,AG84)</f>
        <v>0.44 sq in x (12 / 12) = 0.44 sq in</v>
      </c>
      <c r="E84" s="21"/>
      <c r="F84" s="44"/>
      <c r="G84" s="21"/>
      <c r="K84" s="15"/>
      <c r="N84" s="17">
        <f>VLOOKUP(StemDesign_PartA!O83,'rebar table'!B7:D17,3)</f>
        <v>0.44</v>
      </c>
      <c r="O84" t="s">
        <v>191</v>
      </c>
      <c r="P84" s="16">
        <v>12</v>
      </c>
      <c r="Q84" t="s">
        <v>20</v>
      </c>
      <c r="R84" s="17">
        <f>Q83</f>
        <v>12</v>
      </c>
      <c r="S84" t="s">
        <v>15</v>
      </c>
      <c r="T84" s="17">
        <f>ROUND(N84*(P84/R84),2)</f>
        <v>0.44</v>
      </c>
      <c r="U84" t="s">
        <v>95</v>
      </c>
    </row>
    <row r="85" spans="1:28" x14ac:dyDescent="0.25">
      <c r="E85" s="21"/>
      <c r="F85" s="44"/>
      <c r="G85" s="21"/>
    </row>
    <row r="86" spans="1:28" x14ac:dyDescent="0.25">
      <c r="A86" s="14" t="s">
        <v>86</v>
      </c>
      <c r="B86" t="str">
        <f>CONCATENATE(N86,O86,P86,Q86,R86,S86,T86,U86,V86,W86,X86,Y86,Z86,AA86,AB86,AC86,AD86,AE86,AF86,AG86)</f>
        <v>stem T - cover - (1/2) db = 30 in - 2 in (cover) - (1 / 2) x 0.75 in = 27.63 in</v>
      </c>
      <c r="N86" t="s">
        <v>89</v>
      </c>
      <c r="O86" s="17">
        <f>Q62</f>
        <v>30</v>
      </c>
      <c r="P86" t="s">
        <v>87</v>
      </c>
      <c r="Q86" s="16">
        <v>2</v>
      </c>
      <c r="R86" t="s">
        <v>88</v>
      </c>
      <c r="S86" s="16">
        <v>1</v>
      </c>
      <c r="T86" t="s">
        <v>20</v>
      </c>
      <c r="U86" s="16">
        <v>2</v>
      </c>
      <c r="V86" t="s">
        <v>37</v>
      </c>
      <c r="W86" s="17">
        <f>VLOOKUP(O83,'rebar table'!B7:D17,2)</f>
        <v>0.75</v>
      </c>
      <c r="X86" t="s">
        <v>91</v>
      </c>
      <c r="Y86" s="17">
        <f>ROUND(O86-Q86-((S86/U86)*W86),2)</f>
        <v>27.63</v>
      </c>
      <c r="Z86" t="s">
        <v>75</v>
      </c>
    </row>
    <row r="88" spans="1:28" x14ac:dyDescent="0.25">
      <c r="A88" s="14" t="s">
        <v>90</v>
      </c>
      <c r="B88" t="str">
        <f>CONCATENATE(N88,O88,P88,Q88,R88,S88,T88,U88,V88,W88,X88,Y88,Z88,AA88,AB88,AC88,AD88,AE88,AF88,AG88)</f>
        <v>As fy / (0.85 fc' b) = (0.44 x 60) / (0.85 x 4 x 12) = 0.65 in</v>
      </c>
      <c r="N88" t="s">
        <v>96</v>
      </c>
      <c r="O88" s="17">
        <f>T84</f>
        <v>0.44</v>
      </c>
      <c r="P88" t="s">
        <v>7</v>
      </c>
      <c r="Q88" s="16">
        <v>60</v>
      </c>
      <c r="R88" t="s">
        <v>38</v>
      </c>
      <c r="S88" s="16">
        <v>0.85</v>
      </c>
      <c r="T88" t="s">
        <v>7</v>
      </c>
      <c r="U88" s="17">
        <f>P60</f>
        <v>4</v>
      </c>
      <c r="V88" t="s">
        <v>7</v>
      </c>
      <c r="W88" s="16">
        <v>12</v>
      </c>
      <c r="X88" t="s">
        <v>15</v>
      </c>
      <c r="Y88" s="17">
        <f>ROUND((O88*Q88)/(S88*U88*W88),2)</f>
        <v>0.65</v>
      </c>
      <c r="Z88" t="s">
        <v>75</v>
      </c>
    </row>
    <row r="90" spans="1:28" x14ac:dyDescent="0.25">
      <c r="A90" s="14" t="s">
        <v>83</v>
      </c>
      <c r="B90" t="str">
        <f>CONCATENATE(N90,O90,P90,Q90,R90,S90,T90,U90,V90,W90,X90,Y90,Z90,AA90,AB90,AC90,AD90,AE90,AF90,AG90)</f>
        <v>ϕMn = ϕ AS fy (ds - a/2) = 0.9 x 0.44 x 60 x (27.63 - 0.65 / 2) k-in</v>
      </c>
      <c r="N90" t="s">
        <v>104</v>
      </c>
      <c r="O90" s="16">
        <v>0.9</v>
      </c>
      <c r="P90" t="s">
        <v>7</v>
      </c>
      <c r="Q90" s="17">
        <f>T84</f>
        <v>0.44</v>
      </c>
      <c r="R90" t="s">
        <v>7</v>
      </c>
      <c r="S90" s="17">
        <f>Q88</f>
        <v>60</v>
      </c>
      <c r="T90" t="s">
        <v>77</v>
      </c>
      <c r="U90" s="17">
        <f>Y86</f>
        <v>27.63</v>
      </c>
      <c r="V90" t="s">
        <v>23</v>
      </c>
      <c r="W90" s="17">
        <f>Y88</f>
        <v>0.65</v>
      </c>
      <c r="X90" t="s">
        <v>20</v>
      </c>
      <c r="Y90" s="16">
        <v>2</v>
      </c>
      <c r="Z90" t="s">
        <v>202</v>
      </c>
    </row>
    <row r="91" spans="1:28" x14ac:dyDescent="0.25">
      <c r="A91" s="14" t="s">
        <v>83</v>
      </c>
      <c r="B91" t="str">
        <f>CONCATENATE(N91,O91,P91,Q91,R91,S91,T91,U91,V91,W91,X91,Y91,Z91,AA91,AB91,AC91,AD91,AE91,AF91,AG91)</f>
        <v>648.77 k-in x (1 / 12) = 54.06k - ft &gt; Mu = 47.08 k-ft</v>
      </c>
      <c r="K91" s="48" t="str">
        <f>IF(T91&gt;X91,"Okay","Increase Rebar")</f>
        <v>Okay</v>
      </c>
      <c r="N91" s="17">
        <f>ROUND(O90*Q90*S90*(U90-(W90/Y90)),2)</f>
        <v>648.77</v>
      </c>
      <c r="O91" t="s">
        <v>105</v>
      </c>
      <c r="P91" s="16">
        <v>1</v>
      </c>
      <c r="Q91" t="s">
        <v>20</v>
      </c>
      <c r="R91" s="16">
        <v>12</v>
      </c>
      <c r="S91" t="s">
        <v>15</v>
      </c>
      <c r="T91" s="17">
        <f>ROUND(N91*(P91/R91),2)</f>
        <v>54.06</v>
      </c>
      <c r="U91" t="s">
        <v>106</v>
      </c>
      <c r="V91" t="str">
        <f>IF(T91&lt;G46," &lt; "," &gt; ")</f>
        <v xml:space="preserve"> &gt; </v>
      </c>
      <c r="W91" s="22" t="s">
        <v>81</v>
      </c>
      <c r="X91" s="41">
        <f>O78</f>
        <v>47.08</v>
      </c>
      <c r="Y91" t="s">
        <v>79</v>
      </c>
    </row>
    <row r="93" spans="1:28" x14ac:dyDescent="0.25">
      <c r="A93" s="20" t="s">
        <v>107</v>
      </c>
    </row>
    <row r="94" spans="1:28" x14ac:dyDescent="0.25">
      <c r="A94" s="14" t="s">
        <v>108</v>
      </c>
      <c r="B94" t="str">
        <f>CONCATENATE(N94,O94,P94,Q94,R94,S94,T94,U94,V94,W94,X94,Y94,Z94,AA94,AB94,AC94,AD94,AE94,AF94,AG94)</f>
        <v>-0.003 (1 - (ds / (a/β1))) = -0.003 (1 - (27.63 / (0.65 / 0.85)))</v>
      </c>
      <c r="N94" s="70">
        <v>-3.0000000000000001E-3</v>
      </c>
      <c r="O94" t="s">
        <v>72</v>
      </c>
      <c r="P94" s="16">
        <v>1</v>
      </c>
      <c r="Q94" t="s">
        <v>23</v>
      </c>
      <c r="R94" t="s">
        <v>123</v>
      </c>
      <c r="S94" s="71">
        <f>N94</f>
        <v>-3.0000000000000001E-3</v>
      </c>
      <c r="T94" t="s">
        <v>72</v>
      </c>
      <c r="U94" s="17">
        <f>P94</f>
        <v>1</v>
      </c>
      <c r="V94" t="s">
        <v>109</v>
      </c>
      <c r="W94" s="17">
        <f>Y86</f>
        <v>27.63</v>
      </c>
      <c r="X94" t="s">
        <v>92</v>
      </c>
      <c r="Y94" s="17">
        <f>Y88</f>
        <v>0.65</v>
      </c>
      <c r="Z94" t="s">
        <v>20</v>
      </c>
      <c r="AA94" s="16">
        <v>0.85</v>
      </c>
      <c r="AB94" t="s">
        <v>124</v>
      </c>
    </row>
    <row r="95" spans="1:28" x14ac:dyDescent="0.25">
      <c r="A95" s="14" t="s">
        <v>108</v>
      </c>
      <c r="B95" t="str">
        <f>CONCATENATE(N95,O95,P95,Q95,R95,S95,T95,U95,V95,W95,X95,Y95,Z95,AA95,AB95,AC95,AD95,AE95,AF95,AG95)</f>
        <v>0.105 &gt; 0.005  ∴ Tension Controlled, Design is good</v>
      </c>
      <c r="K95" s="48" t="str">
        <f>IF(N95&gt;P95,"Okay","Redesign")</f>
        <v>Okay</v>
      </c>
      <c r="N95" s="17">
        <f>ROUND(S94*(U94-(W94/(Y94/AA94))),3)</f>
        <v>0.105</v>
      </c>
      <c r="O95" t="str">
        <f>IF(N95&lt;P95," &lt; "," &gt; ")</f>
        <v xml:space="preserve"> &gt; </v>
      </c>
      <c r="P95" s="16">
        <v>5.0000000000000001E-3</v>
      </c>
      <c r="Q95" t="str">
        <f>IF(N95&gt;P95,"  ∴ Tension Controlled, Design is good"," ∴ Compression Controlled, redesign or check β1 factor")</f>
        <v xml:space="preserve">  ∴ Tension Controlled, Design is good</v>
      </c>
    </row>
    <row r="97" spans="1:13" x14ac:dyDescent="0.25">
      <c r="A97" s="42"/>
    </row>
    <row r="98" spans="1:13" x14ac:dyDescent="0.25">
      <c r="A98" s="114"/>
      <c r="B98" s="1" t="s">
        <v>222</v>
      </c>
      <c r="C98" s="2"/>
      <c r="D98" s="2"/>
      <c r="E98" s="18"/>
      <c r="F98" s="18"/>
      <c r="G98" s="3" t="s">
        <v>0</v>
      </c>
      <c r="H98" s="4" t="s">
        <v>266</v>
      </c>
      <c r="I98" s="5"/>
      <c r="J98" s="3" t="s">
        <v>1</v>
      </c>
      <c r="K98" s="50">
        <v>44586</v>
      </c>
    </row>
    <row r="99" spans="1:13" x14ac:dyDescent="0.25">
      <c r="A99" s="114"/>
      <c r="B99" s="3" t="s">
        <v>2</v>
      </c>
      <c r="C99" s="7" t="str">
        <f>$C$2</f>
        <v>HOL-00083-11.960</v>
      </c>
      <c r="D99" s="7"/>
      <c r="E99" s="79"/>
      <c r="F99" s="18"/>
      <c r="G99" s="5"/>
      <c r="H99" s="18"/>
      <c r="I99" s="5"/>
      <c r="J99" s="5"/>
      <c r="K99" s="5"/>
    </row>
    <row r="100" spans="1:13" x14ac:dyDescent="0.25">
      <c r="A100" s="114"/>
      <c r="B100" s="3" t="s">
        <v>4</v>
      </c>
      <c r="C100" s="7" t="str">
        <f>$C$3</f>
        <v>108525</v>
      </c>
      <c r="D100" s="8"/>
      <c r="E100" s="18"/>
      <c r="F100" s="18"/>
      <c r="G100" s="3" t="s">
        <v>3</v>
      </c>
      <c r="H100" s="6"/>
      <c r="I100" s="5"/>
      <c r="J100" s="3" t="s">
        <v>1</v>
      </c>
      <c r="K100" s="50"/>
    </row>
    <row r="101" spans="1:13" x14ac:dyDescent="0.25">
      <c r="A101" s="114"/>
      <c r="B101" s="3" t="s">
        <v>165</v>
      </c>
      <c r="C101" s="7" t="s">
        <v>267</v>
      </c>
      <c r="D101" s="16"/>
      <c r="E101" s="79"/>
      <c r="F101" s="18"/>
      <c r="G101" s="18"/>
      <c r="H101" s="5"/>
      <c r="I101" s="5"/>
      <c r="J101" s="9"/>
      <c r="K101" s="9"/>
    </row>
    <row r="102" spans="1:13" x14ac:dyDescent="0.25">
      <c r="A102" s="18"/>
      <c r="B102" s="3"/>
      <c r="C102" s="8"/>
      <c r="D102" s="8"/>
      <c r="E102" s="18"/>
      <c r="F102" s="18"/>
      <c r="G102" s="18"/>
      <c r="H102" s="2" t="s">
        <v>5</v>
      </c>
      <c r="I102" s="10">
        <v>3</v>
      </c>
      <c r="J102" s="11" t="s">
        <v>6</v>
      </c>
      <c r="K102" s="80">
        <v>5</v>
      </c>
    </row>
    <row r="103" spans="1:13" ht="5.0999999999999996" customHeight="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</row>
    <row r="104" spans="1:13" ht="15.75" thickBot="1" x14ac:dyDescent="0.3">
      <c r="A104" s="13" t="s">
        <v>353</v>
      </c>
      <c r="M104" t="s">
        <v>117</v>
      </c>
    </row>
    <row r="105" spans="1:13" ht="90" thickBot="1" x14ac:dyDescent="0.3">
      <c r="A105" s="33" t="s">
        <v>131</v>
      </c>
      <c r="B105" s="32" t="s">
        <v>26</v>
      </c>
      <c r="C105" s="29" t="s">
        <v>44</v>
      </c>
      <c r="D105" s="29" t="s">
        <v>46</v>
      </c>
      <c r="E105" s="30"/>
      <c r="F105" s="29" t="s">
        <v>45</v>
      </c>
      <c r="G105" s="31" t="s">
        <v>47</v>
      </c>
    </row>
    <row r="106" spans="1:13" x14ac:dyDescent="0.25">
      <c r="A106" s="34" t="s">
        <v>27</v>
      </c>
      <c r="B106" s="37">
        <v>1</v>
      </c>
      <c r="C106" s="67">
        <f>C37</f>
        <v>2.21</v>
      </c>
      <c r="D106" s="52"/>
      <c r="E106" s="52"/>
      <c r="F106" s="53">
        <v>0</v>
      </c>
      <c r="G106" s="54">
        <f t="shared" ref="G106:G108" si="3">ROUND(B106*C106*F106,2)</f>
        <v>0</v>
      </c>
    </row>
    <row r="107" spans="1:13" x14ac:dyDescent="0.25">
      <c r="A107" s="35" t="s">
        <v>118</v>
      </c>
      <c r="B107" s="38">
        <v>1</v>
      </c>
      <c r="C107" s="67">
        <f>C38</f>
        <v>7.05</v>
      </c>
      <c r="D107" s="46"/>
      <c r="E107" s="46"/>
      <c r="F107" s="60">
        <v>0.75</v>
      </c>
      <c r="G107" s="55">
        <f t="shared" si="3"/>
        <v>5.29</v>
      </c>
    </row>
    <row r="108" spans="1:13" x14ac:dyDescent="0.25">
      <c r="A108" s="35" t="s">
        <v>28</v>
      </c>
      <c r="B108" s="38">
        <v>1</v>
      </c>
      <c r="C108" s="67">
        <f>C39</f>
        <v>1.83</v>
      </c>
      <c r="D108" s="46"/>
      <c r="E108" s="46"/>
      <c r="F108" s="53">
        <v>0</v>
      </c>
      <c r="G108" s="55">
        <f t="shared" si="3"/>
        <v>0</v>
      </c>
    </row>
    <row r="109" spans="1:13" x14ac:dyDescent="0.25">
      <c r="A109" s="61" t="s">
        <v>119</v>
      </c>
      <c r="B109" s="62"/>
      <c r="C109" s="63"/>
      <c r="D109" s="64"/>
      <c r="E109" s="64"/>
      <c r="F109" s="64"/>
      <c r="G109" s="65"/>
    </row>
    <row r="110" spans="1:13" x14ac:dyDescent="0.25">
      <c r="A110" s="35" t="s">
        <v>190</v>
      </c>
      <c r="B110" s="38">
        <v>1</v>
      </c>
      <c r="C110" s="67">
        <f>C41</f>
        <v>0.45</v>
      </c>
      <c r="D110" s="56">
        <f>ROUND(B110*C110,2)</f>
        <v>0.45</v>
      </c>
      <c r="E110" s="46"/>
      <c r="F110" s="56">
        <f>ROUND($T$25/3,2)</f>
        <v>1.67</v>
      </c>
      <c r="G110" s="55">
        <f t="shared" ref="G110:G114" si="4">ROUND(B110*C110*F110,2)</f>
        <v>0.75</v>
      </c>
    </row>
    <row r="111" spans="1:13" x14ac:dyDescent="0.25">
      <c r="A111" s="35" t="s">
        <v>43</v>
      </c>
      <c r="B111" s="38">
        <v>1.2</v>
      </c>
      <c r="C111" s="67">
        <f>C42</f>
        <v>5.0000000000000001E-3</v>
      </c>
      <c r="D111" s="56">
        <f>ROUND(B111*C111,2)</f>
        <v>0.01</v>
      </c>
      <c r="E111" s="46"/>
      <c r="F111" s="113">
        <f>F42</f>
        <v>5.0149999999999997</v>
      </c>
      <c r="G111" s="55">
        <f t="shared" si="4"/>
        <v>0.03</v>
      </c>
    </row>
    <row r="112" spans="1:13" x14ac:dyDescent="0.25">
      <c r="A112" s="35" t="s">
        <v>29</v>
      </c>
      <c r="B112" s="38">
        <v>1</v>
      </c>
      <c r="C112" s="67">
        <f>C43</f>
        <v>14.59</v>
      </c>
      <c r="D112" s="46"/>
      <c r="E112" s="46"/>
      <c r="F112" s="113">
        <f>F43</f>
        <v>0.75</v>
      </c>
      <c r="G112" s="55">
        <f t="shared" si="4"/>
        <v>10.94</v>
      </c>
    </row>
    <row r="113" spans="1:28" x14ac:dyDescent="0.25">
      <c r="A113" s="35" t="s">
        <v>39</v>
      </c>
      <c r="B113" s="38">
        <v>1</v>
      </c>
      <c r="C113" s="67">
        <f>C44</f>
        <v>0.71</v>
      </c>
      <c r="D113" s="56">
        <f>ROUND(B113*C113,2)</f>
        <v>0.71</v>
      </c>
      <c r="E113" s="46"/>
      <c r="F113" s="113">
        <f>F44</f>
        <v>5.0149999999999997</v>
      </c>
      <c r="G113" s="55">
        <f t="shared" si="4"/>
        <v>3.56</v>
      </c>
    </row>
    <row r="114" spans="1:28" ht="15.75" thickBot="1" x14ac:dyDescent="0.3">
      <c r="A114" s="36" t="s">
        <v>30</v>
      </c>
      <c r="B114" s="39">
        <v>1</v>
      </c>
      <c r="C114" s="101">
        <f>C45</f>
        <v>0.54</v>
      </c>
      <c r="D114" s="57">
        <f>ROUND(B114*C114,2)</f>
        <v>0.54</v>
      </c>
      <c r="E114" s="58"/>
      <c r="F114" s="57">
        <f>$R$22/2</f>
        <v>2.5074999999999998</v>
      </c>
      <c r="G114" s="59">
        <f t="shared" si="4"/>
        <v>1.35</v>
      </c>
    </row>
    <row r="115" spans="1:28" x14ac:dyDescent="0.25">
      <c r="A115" s="23"/>
      <c r="B115" s="24"/>
      <c r="C115" s="23" t="s">
        <v>59</v>
      </c>
      <c r="D115" s="25">
        <f>SUM(D106:D114)</f>
        <v>1.71</v>
      </c>
      <c r="E115" s="24" t="s">
        <v>196</v>
      </c>
      <c r="F115" s="23" t="s">
        <v>81</v>
      </c>
      <c r="G115" s="25">
        <f>SUM(G106:G114)</f>
        <v>21.919999999999998</v>
      </c>
      <c r="H115" s="24" t="s">
        <v>214</v>
      </c>
      <c r="I115" s="24">
        <f>G115*12</f>
        <v>263.03999999999996</v>
      </c>
      <c r="J115" s="24" t="s">
        <v>215</v>
      </c>
    </row>
    <row r="116" spans="1:28" x14ac:dyDescent="0.25">
      <c r="A116" s="13"/>
    </row>
    <row r="117" spans="1:28" x14ac:dyDescent="0.25">
      <c r="A117" s="14" t="s">
        <v>110</v>
      </c>
      <c r="B117" t="str">
        <f>CONCATENATE(N117,O117,P117,Q117,R117,S117,T117,U117,V117,W117,X117,Y117,Z117,AA117,AB117,AC117,AD117,AE117,AF117,AG117)</f>
        <v>[ (700 ɣe) / (βs fs ) ] - 2 dc</v>
      </c>
      <c r="F117" t="s">
        <v>113</v>
      </c>
      <c r="G117" s="45">
        <v>2</v>
      </c>
      <c r="H117" t="s">
        <v>114</v>
      </c>
      <c r="J117" s="14" t="s">
        <v>115</v>
      </c>
      <c r="K117" s="15">
        <f>IF(G117=1,1,0.75)</f>
        <v>0.75</v>
      </c>
      <c r="N117" t="s">
        <v>219</v>
      </c>
      <c r="O117" s="16">
        <v>700</v>
      </c>
      <c r="P117" t="s">
        <v>111</v>
      </c>
      <c r="Q117" t="s">
        <v>220</v>
      </c>
      <c r="S117" t="s">
        <v>23</v>
      </c>
      <c r="T117" s="16">
        <v>2</v>
      </c>
      <c r="U117" t="s">
        <v>112</v>
      </c>
    </row>
    <row r="118" spans="1:28" x14ac:dyDescent="0.25">
      <c r="A118" s="14"/>
      <c r="J118" s="14"/>
      <c r="K118" s="15"/>
    </row>
    <row r="119" spans="1:28" x14ac:dyDescent="0.25">
      <c r="A119" s="14" t="s">
        <v>127</v>
      </c>
      <c r="B119" t="str">
        <f>CONCATENATE(N119,O119,P119,Q119,R119,S119,T119,U119,V119,W119,X119,Y119,Z119,AA119,AB119,AC119,AD119,AE119,AF119,AG119)</f>
        <v>tensile stress in reinforcing steel at the service limit state</v>
      </c>
      <c r="J119" s="14"/>
      <c r="K119" s="15"/>
      <c r="N119" t="s">
        <v>128</v>
      </c>
    </row>
    <row r="120" spans="1:28" x14ac:dyDescent="0.25">
      <c r="A120" s="14" t="s">
        <v>125</v>
      </c>
      <c r="B120" t="s">
        <v>203</v>
      </c>
    </row>
    <row r="121" spans="1:28" x14ac:dyDescent="0.25">
      <c r="A121" s="14"/>
    </row>
    <row r="122" spans="1:28" x14ac:dyDescent="0.25">
      <c r="A122" s="14" t="s">
        <v>125</v>
      </c>
      <c r="B122" t="str">
        <f>CONCATENATE(N122,O122,P122,Q122,R122,S122,T122,U122,V122,W122,X122,Y122,Z122,AA122,AB122,AC122,AD122,AE122,AF122,AG122)</f>
        <v>cover + 1/2 db = 2 + (1 / 2) x 0.75 = 2.375 in</v>
      </c>
      <c r="K122" s="15"/>
      <c r="N122" t="s">
        <v>204</v>
      </c>
      <c r="O122" s="17">
        <f>Q86</f>
        <v>2</v>
      </c>
      <c r="P122" t="s">
        <v>139</v>
      </c>
      <c r="Q122" s="16">
        <v>1</v>
      </c>
      <c r="R122" t="s">
        <v>20</v>
      </c>
      <c r="S122" s="16">
        <v>2</v>
      </c>
      <c r="T122" t="s">
        <v>37</v>
      </c>
      <c r="U122" s="17">
        <f>db</f>
        <v>0.75</v>
      </c>
      <c r="V122" t="s">
        <v>34</v>
      </c>
      <c r="W122" s="17">
        <f>ROUND(O122+(Q122/S122)*U122,3)</f>
        <v>2.375</v>
      </c>
      <c r="X122" t="s">
        <v>75</v>
      </c>
    </row>
    <row r="123" spans="1:28" x14ac:dyDescent="0.25">
      <c r="A123" s="14"/>
    </row>
    <row r="124" spans="1:28" x14ac:dyDescent="0.25">
      <c r="A124" s="14" t="s">
        <v>205</v>
      </c>
      <c r="B124" t="str">
        <f>CONCATENATE(N124,O124,P124,Q124,R124,S124,T124,U124,V124,W124,X124,Y124,Z124,AA124,AB124,AC124,AD124,AE124,AF124,AG124)</f>
        <v xml:space="preserve">1 + { dc / [0.7 x (h - dc) ] } = 1 + {2.375 / [0.7 x (30 - 2.375) ] } </v>
      </c>
      <c r="K124" s="110" t="s">
        <v>354</v>
      </c>
      <c r="N124" s="16">
        <v>1</v>
      </c>
      <c r="O124" t="s">
        <v>22</v>
      </c>
      <c r="P124" t="s">
        <v>206</v>
      </c>
      <c r="Q124" s="16">
        <v>0.7</v>
      </c>
      <c r="R124" t="s">
        <v>207</v>
      </c>
      <c r="S124" s="17">
        <f>N124</f>
        <v>1</v>
      </c>
      <c r="T124" t="s">
        <v>208</v>
      </c>
      <c r="U124" s="17">
        <f>W122</f>
        <v>2.375</v>
      </c>
      <c r="V124" t="s">
        <v>209</v>
      </c>
      <c r="W124" s="17">
        <f>Q124</f>
        <v>0.7</v>
      </c>
      <c r="X124" t="s">
        <v>77</v>
      </c>
      <c r="Y124" s="17">
        <f>Q62</f>
        <v>30</v>
      </c>
      <c r="Z124" t="s">
        <v>23</v>
      </c>
      <c r="AA124" s="17">
        <f>W122</f>
        <v>2.375</v>
      </c>
      <c r="AB124" t="s">
        <v>210</v>
      </c>
    </row>
    <row r="125" spans="1:28" x14ac:dyDescent="0.25">
      <c r="A125" s="14" t="s">
        <v>205</v>
      </c>
      <c r="B125" t="str">
        <f>CONCATENATE(N125,O125,P125,Q125,R125,S125,T125,U125,V125,W125,X125,Y125,Z125,AA125,AB125,AC125,AD125,AE125,AF125,AG125)</f>
        <v>1 + (2.375 / 19.3375) = 1.123</v>
      </c>
      <c r="N125" s="17">
        <f>S124</f>
        <v>1</v>
      </c>
      <c r="O125" t="s">
        <v>139</v>
      </c>
      <c r="P125" s="17">
        <f>U124</f>
        <v>2.375</v>
      </c>
      <c r="Q125" t="s">
        <v>20</v>
      </c>
      <c r="R125" s="17">
        <f>ROUND(W124*(Y124-AA124),5)</f>
        <v>19.337499999999999</v>
      </c>
      <c r="S125" t="s">
        <v>15</v>
      </c>
      <c r="T125" s="17">
        <f>ROUND(N125+(P125/R125),3)</f>
        <v>1.123</v>
      </c>
    </row>
    <row r="126" spans="1:28" x14ac:dyDescent="0.25">
      <c r="A126" s="14"/>
    </row>
    <row r="127" spans="1:28" x14ac:dyDescent="0.25">
      <c r="A127" s="14" t="s">
        <v>129</v>
      </c>
      <c r="B127" t="str">
        <f>CONCATENATE(N127,O127,P127,Q127,R127,S127,T127,U127,V127,W127,X127,Y127,Z127,AA127,AB127,AC127,AD127,AE127,AF127,AG127)</f>
        <v>Mu (service) / (As x j x ds)</v>
      </c>
      <c r="N127" t="s">
        <v>130</v>
      </c>
    </row>
    <row r="128" spans="1:28" x14ac:dyDescent="0.25">
      <c r="A128" s="14" t="s">
        <v>133</v>
      </c>
      <c r="B128" t="str">
        <f t="shared" ref="B128:B134" si="5">CONCATENATE(N128,O128,P128,Q128,R128,S128,T128,U128,V128,W128,X128,Y128,Z128,AA128,AB128,AC128,AD128,AE128,AF128,AG128)</f>
        <v>1 - (k/3)</v>
      </c>
      <c r="N128" t="s">
        <v>132</v>
      </c>
    </row>
    <row r="129" spans="1:33" x14ac:dyDescent="0.25">
      <c r="A129" s="14" t="s">
        <v>134</v>
      </c>
      <c r="B129" t="str">
        <f t="shared" si="5"/>
        <v>[(ρ x n)^2 + (2 x ρ x n)]^(0.5) - ρ x n</v>
      </c>
      <c r="J129" s="14" t="s">
        <v>137</v>
      </c>
      <c r="K129" s="72">
        <v>8</v>
      </c>
      <c r="N129" s="73" t="s">
        <v>213</v>
      </c>
    </row>
    <row r="130" spans="1:33" x14ac:dyDescent="0.25">
      <c r="A130" s="74" t="s">
        <v>135</v>
      </c>
      <c r="B130" t="str">
        <f t="shared" si="5"/>
        <v>As / bds</v>
      </c>
      <c r="N130" t="s">
        <v>136</v>
      </c>
    </row>
    <row r="131" spans="1:33" x14ac:dyDescent="0.25">
      <c r="A131" s="74"/>
    </row>
    <row r="132" spans="1:33" x14ac:dyDescent="0.25">
      <c r="A132" s="74" t="s">
        <v>135</v>
      </c>
      <c r="B132" t="str">
        <f t="shared" si="5"/>
        <v>0.44 / (12 x 27.63) = 0.0013</v>
      </c>
      <c r="N132" s="17">
        <f>T84</f>
        <v>0.44</v>
      </c>
      <c r="O132" t="s">
        <v>92</v>
      </c>
      <c r="P132" s="17">
        <f>O62</f>
        <v>12</v>
      </c>
      <c r="Q132" t="s">
        <v>7</v>
      </c>
      <c r="R132" s="17">
        <f>Y86</f>
        <v>27.63</v>
      </c>
      <c r="S132" t="s">
        <v>15</v>
      </c>
      <c r="T132" s="82">
        <f>ROUND(N132/(P132*R132),4)</f>
        <v>1.2999999999999999E-3</v>
      </c>
    </row>
    <row r="133" spans="1:33" x14ac:dyDescent="0.25">
      <c r="A133" s="14" t="s">
        <v>134</v>
      </c>
      <c r="B133" t="str">
        <f t="shared" si="5"/>
        <v>[(0.0013 x 8)^2 + (2 x 0.0013 x 8)]^(0.5) - 0.0013 x 8 = 0.134</v>
      </c>
      <c r="N133" t="s">
        <v>211</v>
      </c>
      <c r="O133" s="17">
        <f>T132</f>
        <v>1.2999999999999999E-3</v>
      </c>
      <c r="P133" t="s">
        <v>7</v>
      </c>
      <c r="Q133" s="17">
        <f>K129</f>
        <v>8</v>
      </c>
      <c r="R133" t="s">
        <v>138</v>
      </c>
      <c r="S133" s="16">
        <v>2</v>
      </c>
      <c r="T133" t="s">
        <v>139</v>
      </c>
      <c r="U133" s="16">
        <v>2</v>
      </c>
      <c r="V133" t="s">
        <v>7</v>
      </c>
      <c r="W133" s="17">
        <f>T132</f>
        <v>1.2999999999999999E-3</v>
      </c>
      <c r="X133" t="s">
        <v>7</v>
      </c>
      <c r="Y133" s="17">
        <f>K129</f>
        <v>8</v>
      </c>
      <c r="Z133" t="s">
        <v>212</v>
      </c>
      <c r="AA133" s="16">
        <v>0.5</v>
      </c>
      <c r="AB133" t="s">
        <v>140</v>
      </c>
      <c r="AC133" s="17">
        <f>T132</f>
        <v>1.2999999999999999E-3</v>
      </c>
      <c r="AD133" t="s">
        <v>7</v>
      </c>
      <c r="AE133" s="17">
        <f>K129</f>
        <v>8</v>
      </c>
      <c r="AF133" t="s">
        <v>34</v>
      </c>
      <c r="AG133" s="17">
        <f>ROUND((((O133*Q133)^S133+(U133*W133*Y133))^AA133)-AC133*AE133,3)</f>
        <v>0.13400000000000001</v>
      </c>
    </row>
    <row r="134" spans="1:33" x14ac:dyDescent="0.25">
      <c r="A134" s="14" t="s">
        <v>133</v>
      </c>
      <c r="B134" t="str">
        <f t="shared" si="5"/>
        <v>1 - (0.134/3) = 0.955</v>
      </c>
      <c r="N134" s="16">
        <v>1</v>
      </c>
      <c r="O134" t="s">
        <v>109</v>
      </c>
      <c r="P134" s="17">
        <f>AG133</f>
        <v>0.13400000000000001</v>
      </c>
      <c r="Q134" t="s">
        <v>141</v>
      </c>
      <c r="R134" s="16">
        <v>3</v>
      </c>
      <c r="S134" t="s">
        <v>15</v>
      </c>
      <c r="T134" s="17">
        <f>ROUND(N134-(P134/R134),3)</f>
        <v>0.95499999999999996</v>
      </c>
    </row>
    <row r="136" spans="1:33" x14ac:dyDescent="0.25">
      <c r="A136" s="14" t="s">
        <v>142</v>
      </c>
      <c r="B136" t="str">
        <f>CONCATENATE(N136,O136,P136,Q136,R136,S136,T136,U136,V136,W136,X136,Y136,Z136,AA136,AB136,AC136,AD136,AE136,AF136,AG136)</f>
        <v>263.04 k-in / (0.44 sq in x 0.955 x 27.63 in ) = 22.66 ksi</v>
      </c>
      <c r="N136" s="17">
        <f>I115</f>
        <v>263.03999999999996</v>
      </c>
      <c r="O136" t="s">
        <v>216</v>
      </c>
      <c r="P136" s="17">
        <f>T84</f>
        <v>0.44</v>
      </c>
      <c r="Q136" t="s">
        <v>217</v>
      </c>
      <c r="R136" s="17">
        <f>T134</f>
        <v>0.95499999999999996</v>
      </c>
      <c r="S136" t="s">
        <v>7</v>
      </c>
      <c r="T136" s="17">
        <f>Y86</f>
        <v>27.63</v>
      </c>
      <c r="U136" t="s">
        <v>218</v>
      </c>
      <c r="V136" s="17">
        <f>ROUND(N136/(P136*R136*T136),2)</f>
        <v>22.66</v>
      </c>
      <c r="W136" t="s">
        <v>69</v>
      </c>
    </row>
    <row r="137" spans="1:33" x14ac:dyDescent="0.25">
      <c r="A137" s="14"/>
    </row>
    <row r="138" spans="1:33" x14ac:dyDescent="0.25">
      <c r="A138" s="14" t="s">
        <v>110</v>
      </c>
      <c r="B138" t="str">
        <f>CONCATENATE(N138,O138,P138,Q138,R138,S138,T138,U138,V138,W138,X138,Y138,Z138,AA138,AB138,AC138,AD138,AE138,AF138,AG138)</f>
        <v>(700 x 0.75) / ( 1.123 x fs) - 2 x 2.375</v>
      </c>
      <c r="N138" t="s">
        <v>35</v>
      </c>
      <c r="O138" s="17">
        <f>O117</f>
        <v>700</v>
      </c>
      <c r="P138" t="s">
        <v>7</v>
      </c>
      <c r="Q138" s="17">
        <f>K117</f>
        <v>0.75</v>
      </c>
      <c r="R138" t="s">
        <v>116</v>
      </c>
      <c r="S138" s="17">
        <f>T125</f>
        <v>1.123</v>
      </c>
      <c r="T138" t="s">
        <v>7</v>
      </c>
      <c r="U138" t="s">
        <v>126</v>
      </c>
      <c r="V138" s="17">
        <f>T117</f>
        <v>2</v>
      </c>
      <c r="W138" t="s">
        <v>7</v>
      </c>
      <c r="X138" s="17">
        <f>W122</f>
        <v>2.375</v>
      </c>
    </row>
    <row r="141" spans="1:33" x14ac:dyDescent="0.25">
      <c r="A141" s="14" t="s">
        <v>110</v>
      </c>
      <c r="B141" t="str">
        <f>CONCATENATE(N141,O141,P141,Q141,R141,S141,T141,U141,V141,W141,X141,Y141,Z141,AA141,AB141,AC141,AD141,AE141,AF141,AG141)</f>
        <v>[ (700 x 0.75) / ( 1.123 x 22.66) ] - 2 x 2.375 = 15.88 in</v>
      </c>
      <c r="N141" t="s">
        <v>219</v>
      </c>
      <c r="O141" s="17">
        <f>O117</f>
        <v>700</v>
      </c>
      <c r="P141" t="s">
        <v>7</v>
      </c>
      <c r="Q141" s="17">
        <f>K117</f>
        <v>0.75</v>
      </c>
      <c r="R141" t="s">
        <v>116</v>
      </c>
      <c r="S141" s="17">
        <f>T125</f>
        <v>1.123</v>
      </c>
      <c r="T141" t="s">
        <v>7</v>
      </c>
      <c r="U141" s="17">
        <f>V136</f>
        <v>22.66</v>
      </c>
      <c r="V141" t="s">
        <v>221</v>
      </c>
      <c r="W141" s="17">
        <f>T117</f>
        <v>2</v>
      </c>
      <c r="X141" t="s">
        <v>7</v>
      </c>
      <c r="Y141" s="17">
        <f>W122</f>
        <v>2.375</v>
      </c>
      <c r="Z141" t="s">
        <v>34</v>
      </c>
      <c r="AA141" s="17">
        <f>ROUND(((O141*Q141)/(S141*U141))-(W141*Y141),2)</f>
        <v>15.88</v>
      </c>
      <c r="AB141" t="s">
        <v>75</v>
      </c>
    </row>
    <row r="142" spans="1:33" x14ac:dyDescent="0.25">
      <c r="A142" s="14" t="s">
        <v>110</v>
      </c>
      <c r="B142" t="str">
        <f>CONCATENATE(N142,O142,P142,Q142,R142,S142,T142,U142,V142,W142,X142,Y142,Z142,AA142,AB142,AC142,AD142,AE142,AF142,AG142)</f>
        <v>12 in &lt; 15.88 in   ∴ Spacing is adequate for crack control</v>
      </c>
      <c r="K142" s="48" t="str">
        <f>IF(N142&lt;P142,"Okay","Redesign")</f>
        <v>Okay</v>
      </c>
      <c r="N142" s="17">
        <f>Q83</f>
        <v>12</v>
      </c>
      <c r="O142" t="str">
        <f>IF(N142&gt;P142," in &gt; "," in &lt; ")</f>
        <v xml:space="preserve"> in &lt; </v>
      </c>
      <c r="P142" s="17">
        <f>AA141</f>
        <v>15.88</v>
      </c>
      <c r="Q142" t="str">
        <f>IF(N142&lt;P142," in   ∴ Spacing is adequate for crack control"," in   ∴ Spacing is inadequate, redesign for crack control")</f>
        <v xml:space="preserve"> in   ∴ Spacing is adequate for crack control</v>
      </c>
    </row>
    <row r="144" spans="1:33" x14ac:dyDescent="0.25">
      <c r="A144" s="42"/>
    </row>
    <row r="145" spans="1:14" x14ac:dyDescent="0.25">
      <c r="A145" s="114"/>
      <c r="B145" s="1" t="s">
        <v>222</v>
      </c>
      <c r="C145" s="2"/>
      <c r="D145" s="2"/>
      <c r="E145" s="18"/>
      <c r="F145" s="18"/>
      <c r="G145" s="3" t="s">
        <v>0</v>
      </c>
      <c r="H145" s="4" t="s">
        <v>266</v>
      </c>
      <c r="I145" s="5"/>
      <c r="J145" s="3" t="s">
        <v>1</v>
      </c>
      <c r="K145" s="50">
        <v>44586</v>
      </c>
    </row>
    <row r="146" spans="1:14" x14ac:dyDescent="0.25">
      <c r="A146" s="114"/>
      <c r="B146" s="3" t="s">
        <v>2</v>
      </c>
      <c r="C146" s="7" t="str">
        <f>$C$2</f>
        <v>HOL-00083-11.960</v>
      </c>
      <c r="D146" s="7"/>
      <c r="E146" s="79"/>
      <c r="F146" s="18"/>
      <c r="G146" s="5"/>
      <c r="H146" s="18"/>
      <c r="I146" s="5"/>
      <c r="J146" s="5"/>
      <c r="K146" s="5"/>
    </row>
    <row r="147" spans="1:14" x14ac:dyDescent="0.25">
      <c r="A147" s="114"/>
      <c r="B147" s="3" t="s">
        <v>4</v>
      </c>
      <c r="C147" s="7" t="str">
        <f>$C$3</f>
        <v>108525</v>
      </c>
      <c r="D147" s="8"/>
      <c r="E147" s="18"/>
      <c r="F147" s="18"/>
      <c r="G147" s="3" t="s">
        <v>3</v>
      </c>
      <c r="H147" s="6"/>
      <c r="I147" s="5"/>
      <c r="J147" s="3" t="s">
        <v>1</v>
      </c>
      <c r="K147" s="50"/>
    </row>
    <row r="148" spans="1:14" x14ac:dyDescent="0.25">
      <c r="A148" s="114"/>
      <c r="B148" s="3" t="s">
        <v>165</v>
      </c>
      <c r="C148" s="7" t="s">
        <v>267</v>
      </c>
      <c r="D148" s="16"/>
      <c r="E148" s="79"/>
      <c r="F148" s="18"/>
      <c r="G148" s="18"/>
      <c r="H148" s="5"/>
      <c r="I148" s="5"/>
      <c r="J148" s="9"/>
      <c r="K148" s="9"/>
    </row>
    <row r="149" spans="1:14" x14ac:dyDescent="0.25">
      <c r="A149" s="18"/>
      <c r="B149" s="3"/>
      <c r="C149" s="8"/>
      <c r="D149" s="8"/>
      <c r="E149" s="18"/>
      <c r="F149" s="18"/>
      <c r="G149" s="18"/>
      <c r="H149" s="2" t="s">
        <v>5</v>
      </c>
      <c r="I149" s="10">
        <v>4</v>
      </c>
      <c r="J149" s="11" t="s">
        <v>6</v>
      </c>
      <c r="K149" s="80">
        <v>5</v>
      </c>
    </row>
    <row r="150" spans="1:14" s="12" customFormat="1" ht="5.0999999999999996" customHeight="1" x14ac:dyDescent="0.25"/>
    <row r="151" spans="1:14" x14ac:dyDescent="0.25">
      <c r="A151" s="104" t="s">
        <v>273</v>
      </c>
    </row>
    <row r="152" spans="1:14" x14ac:dyDescent="0.25">
      <c r="A152" s="75"/>
      <c r="B152" t="s">
        <v>223</v>
      </c>
    </row>
    <row r="153" spans="1:14" x14ac:dyDescent="0.25">
      <c r="A153" s="75"/>
      <c r="F153" s="14"/>
    </row>
    <row r="154" spans="1:14" x14ac:dyDescent="0.25">
      <c r="A154" s="15" t="s">
        <v>143</v>
      </c>
    </row>
    <row r="155" spans="1:14" x14ac:dyDescent="0.25">
      <c r="A155" s="14" t="s">
        <v>144</v>
      </c>
      <c r="B155" t="str">
        <f>CONCATENATE(N155,O155,P155,Q155,R155,S155,T155,U155,V155,W155,X155,Y155,Z155,AA155,AB155,AC155,AD155,AE155,AF155,AG155)</f>
        <v>ϕVn = ϕ x 0.0316 x β x (f'c)^(0.5) x bv x dv</v>
      </c>
      <c r="K155" s="107" t="s">
        <v>330</v>
      </c>
      <c r="N155" t="s">
        <v>145</v>
      </c>
    </row>
    <row r="156" spans="1:14" x14ac:dyDescent="0.25">
      <c r="A156" s="14" t="s">
        <v>146</v>
      </c>
    </row>
    <row r="157" spans="1:14" x14ac:dyDescent="0.25">
      <c r="A157" s="14" t="s">
        <v>144</v>
      </c>
      <c r="B157" t="str">
        <f>CONCATENATE(N157,O157,P157,Q157,R157,S157,T157,U157,V157,W157,X157,Y157,Z157,AA157,AB157,AC157,AD157,AE157,AF157,AG157)</f>
        <v>ϕVn = ϕ x 0.25 x f'c x bv x dv</v>
      </c>
      <c r="K157" s="107" t="s">
        <v>331</v>
      </c>
      <c r="N157" t="s">
        <v>147</v>
      </c>
    </row>
    <row r="158" spans="1:14" x14ac:dyDescent="0.25">
      <c r="A158" s="14"/>
    </row>
    <row r="159" spans="1:14" x14ac:dyDescent="0.25">
      <c r="A159" s="14" t="s">
        <v>224</v>
      </c>
      <c r="B159" s="14" t="s">
        <v>225</v>
      </c>
      <c r="C159" s="72">
        <v>0.9</v>
      </c>
      <c r="D159" t="s">
        <v>226</v>
      </c>
      <c r="J159" s="14"/>
    </row>
    <row r="160" spans="1:14" x14ac:dyDescent="0.25">
      <c r="A160" s="14"/>
      <c r="B160" s="15" t="s">
        <v>227</v>
      </c>
      <c r="J160" s="14"/>
      <c r="K160" s="103" t="s">
        <v>274</v>
      </c>
    </row>
    <row r="161" spans="1:29" x14ac:dyDescent="0.25">
      <c r="D161" s="14" t="s">
        <v>152</v>
      </c>
      <c r="E161" s="86">
        <f>Y86</f>
        <v>27.63</v>
      </c>
      <c r="F161" t="s">
        <v>56</v>
      </c>
      <c r="K161" t="s">
        <v>228</v>
      </c>
    </row>
    <row r="162" spans="1:29" x14ac:dyDescent="0.25">
      <c r="A162" s="14" t="s">
        <v>148</v>
      </c>
      <c r="B162" t="str">
        <f>CONCATENATE(N162,O162,P162,Q162,R162,S162,T162,U162,V162,W162,X162,Y162,Z162,AA162,AB162,AC162,AD162,AE162,AF162,AG162)</f>
        <v>de - a/2 = 27.63 in - (0.65 in /2) = 27.31 in</v>
      </c>
      <c r="N162" t="s">
        <v>149</v>
      </c>
      <c r="P162" s="41">
        <f>Y86</f>
        <v>27.63</v>
      </c>
      <c r="Q162" t="s">
        <v>230</v>
      </c>
      <c r="R162" s="17">
        <f>Y88</f>
        <v>0.65</v>
      </c>
      <c r="S162" t="s">
        <v>231</v>
      </c>
      <c r="T162" s="16">
        <v>2</v>
      </c>
      <c r="U162" t="s">
        <v>15</v>
      </c>
      <c r="V162" s="17">
        <f>ROUND(P162-(R162/T162),2)</f>
        <v>27.31</v>
      </c>
      <c r="W162" t="s">
        <v>75</v>
      </c>
    </row>
    <row r="163" spans="1:29" x14ac:dyDescent="0.25">
      <c r="A163" s="14" t="s">
        <v>153</v>
      </c>
      <c r="B163" t="str">
        <f>CONCATENATE(N163,O163,P163,Q163,R163,S163,T163,U163,V163,W163,X163,Y163,Z163,AA163,AB163,AC163,AD163,AE163,AF163,AG163)</f>
        <v>0.9de = 0.9 x 27.63 in = 24.87 in</v>
      </c>
      <c r="N163" s="16">
        <v>0.9</v>
      </c>
      <c r="O163" t="s">
        <v>150</v>
      </c>
      <c r="P163" s="17">
        <f>N163</f>
        <v>0.9</v>
      </c>
      <c r="Q163" t="s">
        <v>7</v>
      </c>
      <c r="R163" s="41">
        <f>Y86</f>
        <v>27.63</v>
      </c>
      <c r="S163" t="s">
        <v>91</v>
      </c>
      <c r="T163" s="17">
        <f>ROUND(P163*R163,2)</f>
        <v>24.87</v>
      </c>
      <c r="U163" t="s">
        <v>75</v>
      </c>
    </row>
    <row r="164" spans="1:29" x14ac:dyDescent="0.25">
      <c r="A164" s="14" t="s">
        <v>153</v>
      </c>
      <c r="B164" t="str">
        <f>CONCATENATE(N164,O164,P164,Q164,R164,S164,T164,U164,V164,W164,X164,Y164,Z164,AA164,AB164,AC164,AD164,AE164,AF164,AG164)</f>
        <v>0.72h = 0.72 x 30 in = 21.6 in</v>
      </c>
      <c r="N164" s="16">
        <v>0.72</v>
      </c>
      <c r="O164" t="s">
        <v>151</v>
      </c>
      <c r="P164" s="17">
        <f>N164</f>
        <v>0.72</v>
      </c>
      <c r="Q164" t="s">
        <v>7</v>
      </c>
      <c r="R164" s="17">
        <f>Q62</f>
        <v>30</v>
      </c>
      <c r="S164" t="s">
        <v>91</v>
      </c>
      <c r="T164" s="17">
        <f>ROUND(P164*R164,2)</f>
        <v>21.6</v>
      </c>
      <c r="U164" t="s">
        <v>75</v>
      </c>
    </row>
    <row r="165" spans="1:29" x14ac:dyDescent="0.25">
      <c r="B165" t="str">
        <f>CONCATENATE(N165,O165,P165,Q165,R165,S165,T165,U165,V165,W165,X165,Y165,Z165,AA165,AB165,AC165,AD165,AE165,AF165,AG165)</f>
        <v/>
      </c>
    </row>
    <row r="166" spans="1:29" x14ac:dyDescent="0.25">
      <c r="A166" s="14" t="s">
        <v>154</v>
      </c>
      <c r="B166" t="str">
        <f>CONCATENATE(N166,O166,P166,Q166,R166,S166,T166,U166,V166,W166,X166,Y166,Z166,AA166,AB166,AC166,AD166,AE166,AF166,AG166)</f>
        <v>27.31 in</v>
      </c>
      <c r="K166" s="103" t="s">
        <v>275</v>
      </c>
      <c r="N166" s="17">
        <f>MAX(V162,T163,T164)</f>
        <v>27.31</v>
      </c>
      <c r="O166" t="s">
        <v>75</v>
      </c>
    </row>
    <row r="167" spans="1:29" x14ac:dyDescent="0.25">
      <c r="A167" s="14"/>
      <c r="J167" s="14" t="s">
        <v>155</v>
      </c>
      <c r="K167" s="76">
        <v>2</v>
      </c>
      <c r="N167" s="96" t="s">
        <v>229</v>
      </c>
    </row>
    <row r="168" spans="1:29" x14ac:dyDescent="0.25">
      <c r="A168" s="14" t="s">
        <v>144</v>
      </c>
      <c r="B168" t="str">
        <f>CONCATENATE(N168,O168,P168,Q168,R168,S168,T168,U168,V168,W168,X168,Y168,Z168,AA168,AB168,AC168,AD168,AE168,AF168,AG168)</f>
        <v>ϕVn = ϕ x 0.0316 x β x (f'c)^(0.5) x bv x dv</v>
      </c>
      <c r="I168" s="40"/>
      <c r="J168" s="14"/>
      <c r="N168" t="s">
        <v>145</v>
      </c>
    </row>
    <row r="169" spans="1:29" x14ac:dyDescent="0.25">
      <c r="A169" s="14" t="s">
        <v>144</v>
      </c>
      <c r="B169" t="str">
        <f>CONCATENATE(N169,O169,P169,Q169,R169,S169,T169,U169,V169,W169,X169,Y169,Z169,AA169,AB169,AC169,AD169,AE169,AF169,AG169)</f>
        <v>0.9 x 0.0316 x 2 x 4^(0.5) ksi x 12 in x 27.31 in = 37.28 k</v>
      </c>
      <c r="N169" s="17">
        <f>C159</f>
        <v>0.9</v>
      </c>
      <c r="O169" t="s">
        <v>7</v>
      </c>
      <c r="P169" s="16">
        <v>3.1600000000000003E-2</v>
      </c>
      <c r="Q169" t="s">
        <v>7</v>
      </c>
      <c r="R169" s="77">
        <f>K167</f>
        <v>2</v>
      </c>
      <c r="S169" t="s">
        <v>7</v>
      </c>
      <c r="T169" s="17">
        <f>U88</f>
        <v>4</v>
      </c>
      <c r="U169" t="s">
        <v>156</v>
      </c>
      <c r="V169" s="16">
        <v>0.5</v>
      </c>
      <c r="W169" t="s">
        <v>232</v>
      </c>
      <c r="X169" s="17">
        <f>O62</f>
        <v>12</v>
      </c>
      <c r="Y169" t="s">
        <v>233</v>
      </c>
      <c r="Z169" s="17">
        <f>N166</f>
        <v>27.31</v>
      </c>
      <c r="AA169" t="s">
        <v>91</v>
      </c>
      <c r="AB169" s="17">
        <f>ROUND(N169*P169*R169*(T169^V169)*X169*Z169,2)</f>
        <v>37.28</v>
      </c>
      <c r="AC169" t="s">
        <v>157</v>
      </c>
    </row>
    <row r="170" spans="1:29" x14ac:dyDescent="0.25">
      <c r="A170" s="14" t="s">
        <v>146</v>
      </c>
    </row>
    <row r="171" spans="1:29" x14ac:dyDescent="0.25">
      <c r="A171" s="14" t="s">
        <v>144</v>
      </c>
      <c r="B171" t="str">
        <f>CONCATENATE(N171,O171,P171,Q171,R171,S171,T171,U171,V171,W171,X171,Y171,Z171,AA171,AB171,AC171,AD171,AE171,AF171,AG171)</f>
        <v>ϕVn = ϕ x 0.25 x f'c x bv x dv</v>
      </c>
      <c r="N171" t="s">
        <v>147</v>
      </c>
    </row>
    <row r="172" spans="1:29" x14ac:dyDescent="0.25">
      <c r="A172" s="14" t="s">
        <v>144</v>
      </c>
      <c r="B172" t="str">
        <f>CONCATENATE(N172,O172,P172,Q172,R172,S172,T172,U172,V172,W172,X172,Y172,Z172,AA172,AB172,AC172,AD172,AE172,AF172,AG172)</f>
        <v>0.9 x 0.25 x 4 ksi x 12 in x 27.31 in = 294.95 k</v>
      </c>
      <c r="N172" s="17">
        <f>C159</f>
        <v>0.9</v>
      </c>
      <c r="O172" t="s">
        <v>7</v>
      </c>
      <c r="P172" s="16">
        <v>0.25</v>
      </c>
      <c r="Q172" t="s">
        <v>7</v>
      </c>
      <c r="R172" s="17">
        <f>T169</f>
        <v>4</v>
      </c>
      <c r="S172" t="s">
        <v>234</v>
      </c>
      <c r="T172" s="17">
        <f>O62</f>
        <v>12</v>
      </c>
      <c r="U172" t="s">
        <v>233</v>
      </c>
      <c r="V172" s="17">
        <f>N166</f>
        <v>27.31</v>
      </c>
      <c r="W172" t="s">
        <v>91</v>
      </c>
      <c r="X172" s="17">
        <f>ROUND(N172*P172*R172*T172*V172,2)</f>
        <v>294.95</v>
      </c>
      <c r="Y172" t="s">
        <v>157</v>
      </c>
    </row>
    <row r="173" spans="1:29" x14ac:dyDescent="0.25">
      <c r="A173" s="14" t="s">
        <v>158</v>
      </c>
      <c r="B173" t="str">
        <f>CONCATENATE(N173,O173,P173,Q173,R173,S173,T173,U173,V173,W173,X173,Y173,Z173,AA173,AB173,AC173,AD173,AE173,AF173,AG173)</f>
        <v>37.28 k &gt; 2.81 k</v>
      </c>
      <c r="K173" s="48" t="str">
        <f>IF(N173&gt;Q173,"Okay","Redesign Wall")</f>
        <v>Okay</v>
      </c>
      <c r="N173" s="17">
        <f>MIN(AB169,X172)</f>
        <v>37.28</v>
      </c>
      <c r="O173" t="s">
        <v>157</v>
      </c>
      <c r="P173" t="str">
        <f>IF(N173&gt;Q173," &gt; "," &lt; ")</f>
        <v xml:space="preserve"> &gt; </v>
      </c>
      <c r="Q173" s="41">
        <f>D46</f>
        <v>2.8099999999999996</v>
      </c>
      <c r="R173" t="s">
        <v>157</v>
      </c>
    </row>
    <row r="175" spans="1:29" x14ac:dyDescent="0.25">
      <c r="A175" s="104" t="s">
        <v>276</v>
      </c>
      <c r="M175" t="s">
        <v>159</v>
      </c>
    </row>
    <row r="176" spans="1:29" x14ac:dyDescent="0.25">
      <c r="A176" s="15" t="s">
        <v>160</v>
      </c>
    </row>
    <row r="177" spans="1:30" x14ac:dyDescent="0.25">
      <c r="A177" s="14" t="s">
        <v>161</v>
      </c>
      <c r="B177" t="str">
        <f>CONCATENATE(N177,O177,P177,Q177,R177,S177,T177,U177,V177,W177,X177,Y177,Z177,AA177,AB177,AC177,AD177,AE177,AF177,AG177)</f>
        <v>(1.3 Z D)/[2(Z+D)fy]</v>
      </c>
      <c r="K177" s="106" t="s">
        <v>277</v>
      </c>
      <c r="N177" t="s">
        <v>265</v>
      </c>
    </row>
    <row r="178" spans="1:30" x14ac:dyDescent="0.25">
      <c r="A178" s="14" t="s">
        <v>161</v>
      </c>
      <c r="B178" t="str">
        <f>CONCATENATE(N178,O178,P178,Q178,R178,S178,T178,U178,V178,W178,X178,Y178,Z178,AA178,AB178,AC178,AD178,AE178,AF178,AG178)</f>
        <v>(1.3 x 60.18 in x 30 in) / [2 x (60.18 in + 30 in) x 60 ksi ] = 0.22 sq in</v>
      </c>
      <c r="N178" t="s">
        <v>35</v>
      </c>
      <c r="O178" s="16">
        <v>1.3</v>
      </c>
      <c r="P178" t="s">
        <v>7</v>
      </c>
      <c r="Q178" s="16">
        <f>Calcs!D7*12</f>
        <v>60.179999999999993</v>
      </c>
      <c r="R178" t="s">
        <v>233</v>
      </c>
      <c r="S178" s="17">
        <f>Q62</f>
        <v>30</v>
      </c>
      <c r="T178" t="s">
        <v>235</v>
      </c>
      <c r="U178" s="16">
        <v>2</v>
      </c>
      <c r="V178" t="s">
        <v>77</v>
      </c>
      <c r="W178" s="17">
        <f>Q178</f>
        <v>60.179999999999993</v>
      </c>
      <c r="X178" t="s">
        <v>236</v>
      </c>
      <c r="Y178" s="17">
        <f>Q62</f>
        <v>30</v>
      </c>
      <c r="Z178" t="s">
        <v>237</v>
      </c>
      <c r="AA178" s="16">
        <v>60</v>
      </c>
      <c r="AB178" t="s">
        <v>238</v>
      </c>
      <c r="AC178" s="17">
        <f>ROUND((O178*Q178*S178)/(U178*(W178+Y178)*AA178),2)</f>
        <v>0.22</v>
      </c>
      <c r="AD178" t="s">
        <v>95</v>
      </c>
    </row>
    <row r="180" spans="1:30" x14ac:dyDescent="0.25">
      <c r="A180" t="s">
        <v>164</v>
      </c>
      <c r="E180" t="str">
        <f>CONCATENATE(N180,O180,P180,Q180,R180)</f>
        <v>No. 5 bars @ 15 in spa.</v>
      </c>
      <c r="N180" t="s">
        <v>98</v>
      </c>
      <c r="O180" s="45">
        <v>5</v>
      </c>
      <c r="P180" s="44" t="s">
        <v>99</v>
      </c>
      <c r="Q180" s="45">
        <v>15</v>
      </c>
      <c r="R180" t="s">
        <v>122</v>
      </c>
    </row>
    <row r="181" spans="1:30" x14ac:dyDescent="0.25">
      <c r="A181" s="14" t="s">
        <v>93</v>
      </c>
      <c r="B181" t="str">
        <f>CONCATENATE(N181,O181,P181,Q181,R181,S181,T181,U181,V181,W181,X181,Y181,Z181,AA181,AB181,AC181,AD181,AE181,AF181,AG181)</f>
        <v>0.31sq in x (12 / 15) = 0.25 sq in</v>
      </c>
      <c r="K181" s="48" t="str">
        <f>IF(T181&gt;AC178,"Okay","Increase S&amp;T Steel")</f>
        <v>Okay</v>
      </c>
      <c r="N181" s="17">
        <f>VLOOKUP(StemDesign_PartA!O180,'rebar table'!B7:D17,3)</f>
        <v>0.31</v>
      </c>
      <c r="O181" t="s">
        <v>94</v>
      </c>
      <c r="P181" s="16">
        <v>12</v>
      </c>
      <c r="Q181" t="s">
        <v>20</v>
      </c>
      <c r="R181" s="17">
        <f>Q180</f>
        <v>15</v>
      </c>
      <c r="S181" t="s">
        <v>15</v>
      </c>
      <c r="T181" s="17">
        <f>ROUND(N181*(P181/R181),2)</f>
        <v>0.25</v>
      </c>
      <c r="U181" t="s">
        <v>95</v>
      </c>
    </row>
    <row r="183" spans="1:30" x14ac:dyDescent="0.25">
      <c r="B183" t="str">
        <f>CONCATENATE(N183,O183,P183,Q183,R183,S183,T183,U183,V183,W183,X183,Y183,Z183,AA183,AB183,AC183,AD183,AE183,AF183,AG183)</f>
        <v>0.11 ≤ As ≤ 0.6</v>
      </c>
      <c r="J183" s="14" t="s">
        <v>239</v>
      </c>
      <c r="K183" s="78" t="b">
        <f>AND(T181&gt;N183, T181&lt;R183)</f>
        <v>1</v>
      </c>
      <c r="N183" s="16">
        <v>0.11</v>
      </c>
      <c r="O183" s="73" t="s">
        <v>162</v>
      </c>
      <c r="P183" t="s">
        <v>163</v>
      </c>
      <c r="Q183" s="73" t="s">
        <v>162</v>
      </c>
      <c r="R183" s="16">
        <v>0.6</v>
      </c>
    </row>
    <row r="192" spans="1:30" x14ac:dyDescent="0.25">
      <c r="A192" s="97" t="str">
        <f ca="1">CELL("filename")</f>
        <v>c:\users\mclark3\appdata\local\bentley\projectwise\workingdir\ohiodot-pw.bentley.com_ohiodot-pw-02\michael.clark@dot.ohio.gov\d0512215\[108525-Abutment Pile Loading.xlsx]Calcs</v>
      </c>
    </row>
  </sheetData>
  <mergeCells count="4">
    <mergeCell ref="A145:A148"/>
    <mergeCell ref="A1:A4"/>
    <mergeCell ref="A48:A51"/>
    <mergeCell ref="A98:A101"/>
  </mergeCells>
  <dataValidations disablePrompts="1" count="1">
    <dataValidation type="list" allowBlank="1" showInputMessage="1" showErrorMessage="1" sqref="G117" xr:uid="{00000000-0002-0000-0000-000000000000}">
      <formula1>"1,2"</formula1>
    </dataValidation>
  </dataValidations>
  <hyperlinks>
    <hyperlink ref="P83" r:id="rId1" display="bar@" xr:uid="{00000000-0004-0000-0000-000000000000}"/>
    <hyperlink ref="P180" r:id="rId2" display="bar@" xr:uid="{00000000-0004-0000-0000-000001000000}"/>
  </hyperlinks>
  <pageMargins left="0.5" right="0.5" top="0.5" bottom="0.5" header="0.3" footer="0.3"/>
  <pageSetup orientation="portrait" horizontalDpi="300" verticalDpi="300" r:id="rId3"/>
  <drawing r:id="rId4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1000000}">
          <x14:formula1>
            <xm:f>'rebar table'!$B$7:$B$17</xm:f>
          </x14:formula1>
          <xm:sqref>O83 O180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49"/>
  <sheetViews>
    <sheetView topLeftCell="A2" zoomScaleNormal="100" zoomScaleSheetLayoutView="100" workbookViewId="0">
      <selection activeCell="AH21" sqref="AH21"/>
    </sheetView>
  </sheetViews>
  <sheetFormatPr defaultRowHeight="15" x14ac:dyDescent="0.25"/>
  <cols>
    <col min="1" max="1" width="11.7109375" customWidth="1"/>
    <col min="2" max="2" width="8.85546875" customWidth="1"/>
    <col min="3" max="8" width="5.7109375" customWidth="1"/>
    <col min="9" max="10" width="6.7109375" customWidth="1"/>
    <col min="11" max="11" width="10.7109375" customWidth="1"/>
    <col min="12" max="12" width="1.7109375" style="12" customWidth="1"/>
    <col min="13" max="118" width="5.7109375" customWidth="1"/>
  </cols>
  <sheetData>
    <row r="1" spans="1:37" x14ac:dyDescent="0.25">
      <c r="A1" s="114"/>
      <c r="B1" s="1" t="s">
        <v>222</v>
      </c>
      <c r="C1" s="2"/>
      <c r="D1" s="2"/>
      <c r="E1" s="18"/>
      <c r="F1" s="18"/>
      <c r="G1" s="3" t="s">
        <v>0</v>
      </c>
      <c r="H1" s="4" t="s">
        <v>266</v>
      </c>
      <c r="I1" s="5"/>
      <c r="J1" s="3" t="s">
        <v>1</v>
      </c>
      <c r="K1" s="50">
        <v>44586</v>
      </c>
    </row>
    <row r="2" spans="1:37" x14ac:dyDescent="0.25">
      <c r="A2" s="114"/>
      <c r="B2" s="3" t="s">
        <v>2</v>
      </c>
      <c r="C2" s="7" t="s">
        <v>268</v>
      </c>
      <c r="D2" s="7"/>
      <c r="E2" s="79"/>
      <c r="F2" s="18"/>
      <c r="G2" s="5"/>
      <c r="H2" s="18"/>
      <c r="I2" s="5"/>
      <c r="J2" s="5"/>
      <c r="K2" s="5"/>
    </row>
    <row r="3" spans="1:37" x14ac:dyDescent="0.25">
      <c r="A3" s="114"/>
      <c r="B3" s="3" t="s">
        <v>4</v>
      </c>
      <c r="C3" s="7">
        <v>88945</v>
      </c>
      <c r="D3" s="8"/>
      <c r="E3" s="18"/>
      <c r="F3" s="18"/>
      <c r="G3" s="3" t="s">
        <v>3</v>
      </c>
      <c r="H3" s="6"/>
      <c r="I3" s="5"/>
      <c r="J3" s="3" t="s">
        <v>1</v>
      </c>
      <c r="K3" s="50"/>
    </row>
    <row r="4" spans="1:37" x14ac:dyDescent="0.25">
      <c r="A4" s="114"/>
      <c r="B4" s="3" t="s">
        <v>165</v>
      </c>
      <c r="C4" s="7" t="s">
        <v>267</v>
      </c>
      <c r="D4" s="16"/>
      <c r="E4" s="79"/>
      <c r="F4" s="18"/>
      <c r="G4" s="18"/>
      <c r="H4" s="5"/>
      <c r="I4" s="5"/>
      <c r="J4" s="9"/>
      <c r="K4" s="9"/>
    </row>
    <row r="5" spans="1:37" x14ac:dyDescent="0.25">
      <c r="A5" s="18"/>
      <c r="B5" s="3"/>
      <c r="C5" s="8"/>
      <c r="D5" s="8"/>
      <c r="E5" s="18"/>
      <c r="F5" s="18"/>
      <c r="G5" s="18"/>
      <c r="H5" s="2" t="s">
        <v>5</v>
      </c>
      <c r="I5" s="10">
        <v>5</v>
      </c>
      <c r="J5" s="11" t="s">
        <v>6</v>
      </c>
      <c r="K5" s="80">
        <v>5</v>
      </c>
    </row>
    <row r="6" spans="1:37" s="12" customFormat="1" ht="5.0999999999999996" customHeight="1" x14ac:dyDescent="0.25"/>
    <row r="7" spans="1:37" x14ac:dyDescent="0.25">
      <c r="A7" s="13" t="s">
        <v>278</v>
      </c>
      <c r="J7" s="14" t="s">
        <v>242</v>
      </c>
      <c r="K7" s="14" t="str">
        <f>CONCATENATE(N7,O7,P7,Q7,R7,S7,T7)</f>
        <v>No. 6 Bars</v>
      </c>
      <c r="N7" t="s">
        <v>98</v>
      </c>
      <c r="O7" s="17">
        <f>StemDesign_PartA!O83</f>
        <v>6</v>
      </c>
      <c r="P7" t="s">
        <v>240</v>
      </c>
    </row>
    <row r="8" spans="1:37" x14ac:dyDescent="0.25">
      <c r="A8" s="14" t="s">
        <v>166</v>
      </c>
      <c r="B8" t="str">
        <f>CONCATENATE(N8,O8,P8,Q8,R8,S8,T8,U8,V8,W8,X8,Y8,Z8,AA8,AB8)</f>
        <v>(1.25 Ab fy) / (f'c^0.5) ≥ 0.4 db fy</v>
      </c>
      <c r="N8" t="s">
        <v>241</v>
      </c>
    </row>
    <row r="9" spans="1:37" x14ac:dyDescent="0.25">
      <c r="A9" s="14" t="s">
        <v>166</v>
      </c>
      <c r="B9" t="str">
        <f>CONCATENATE(N9,O9,P9,Q9,R9,S9,T9,U9,V9,W9,X9,Y9,Z9,AA9,AB9,AC9)</f>
        <v>(1.25 x 0.44 in x 60 ksi ) / [ 4^0.5 ksi ] ≥ 0.4 x 0.75 in x 60</v>
      </c>
      <c r="N9" t="s">
        <v>35</v>
      </c>
      <c r="O9" s="17">
        <f>IF(O7=18,3.5,IF(O7=14,2.7,1.25))</f>
        <v>1.25</v>
      </c>
      <c r="P9" t="s">
        <v>7</v>
      </c>
      <c r="Q9" s="17">
        <f>StemDesign_PartA!N84</f>
        <v>0.44</v>
      </c>
      <c r="R9" t="s">
        <v>233</v>
      </c>
      <c r="S9" s="17">
        <f>StemDesign_PartA!Q88</f>
        <v>60</v>
      </c>
      <c r="T9" t="s">
        <v>243</v>
      </c>
      <c r="U9" s="17">
        <f>StemDesign_PartA!U88</f>
        <v>4</v>
      </c>
      <c r="V9" t="s">
        <v>53</v>
      </c>
      <c r="W9" s="16">
        <v>0.5</v>
      </c>
      <c r="X9" t="s">
        <v>244</v>
      </c>
      <c r="Y9" s="16">
        <v>0.4</v>
      </c>
      <c r="Z9" t="s">
        <v>7</v>
      </c>
      <c r="AA9" s="17">
        <f>StemDesign_PartA!W86</f>
        <v>0.75</v>
      </c>
      <c r="AB9" t="s">
        <v>233</v>
      </c>
      <c r="AC9" s="17">
        <f>S9</f>
        <v>60</v>
      </c>
      <c r="AD9" t="s">
        <v>69</v>
      </c>
    </row>
    <row r="10" spans="1:37" x14ac:dyDescent="0.25">
      <c r="A10" s="14" t="s">
        <v>166</v>
      </c>
      <c r="B10" t="str">
        <f>CONCATENATE(N10,O10,P10,Q10,R10,S10,T10,U10,V10,W10,X10,Y10,Z10,AA10,AB10,AC10)</f>
        <v>16.5 in ≥ 18 in</v>
      </c>
      <c r="N10" s="17">
        <f>ROUND((O9*Q9*S9)/(U9^W9),1)</f>
        <v>16.5</v>
      </c>
      <c r="O10" t="s">
        <v>167</v>
      </c>
      <c r="P10" s="17">
        <f>ROUND(Y9*AA9*AC9,1)</f>
        <v>18</v>
      </c>
      <c r="Q10" t="s">
        <v>75</v>
      </c>
      <c r="AH10">
        <f>2.4*AA9*AC9/(U9^0.5)</f>
        <v>53.999999999999993</v>
      </c>
      <c r="AI10" t="s">
        <v>167</v>
      </c>
      <c r="AJ10" s="17">
        <f>Y9*AA9*AC9</f>
        <v>18.000000000000004</v>
      </c>
      <c r="AK10" t="s">
        <v>75</v>
      </c>
    </row>
    <row r="11" spans="1:37" x14ac:dyDescent="0.25">
      <c r="A11" s="14" t="s">
        <v>168</v>
      </c>
      <c r="B11" t="str">
        <f>CONCATENATE(N11,O11,P11,Q11,R11,S11,T11,U11,V11,W11,X11,Y11,Z11,AA11,AB11,AC11)</f>
        <v>18 in</v>
      </c>
      <c r="N11" s="81">
        <f>IF(N10&gt;P10,N10,P10)</f>
        <v>18</v>
      </c>
      <c r="O11" t="s">
        <v>75</v>
      </c>
      <c r="AH11" s="81">
        <f>IF(AH10&gt;AJ10,AH10,AJ10)</f>
        <v>53.999999999999993</v>
      </c>
      <c r="AI11" t="s">
        <v>75</v>
      </c>
    </row>
    <row r="12" spans="1:37" x14ac:dyDescent="0.25">
      <c r="A12" s="14"/>
    </row>
    <row r="13" spans="1:37" x14ac:dyDescent="0.25">
      <c r="A13" s="15" t="s">
        <v>169</v>
      </c>
    </row>
    <row r="14" spans="1:37" x14ac:dyDescent="0.25">
      <c r="A14" s="14" t="s">
        <v>170</v>
      </c>
      <c r="B14" t="str">
        <f>CONCATENATE(N14,O14,P14,Q14,R14,S14,T14,U14,V14,W14,X14,Y14,Z14,AA14,AB14,AC14)</f>
        <v xml:space="preserve">4 in &gt; 3db → 4 in &gt; 2.25 in </v>
      </c>
      <c r="K14" s="107" t="s">
        <v>279</v>
      </c>
      <c r="N14" s="16">
        <v>4</v>
      </c>
      <c r="O14" t="s">
        <v>171</v>
      </c>
      <c r="P14" s="16">
        <v>3</v>
      </c>
      <c r="Q14" t="s">
        <v>172</v>
      </c>
      <c r="R14" s="17">
        <f>N14</f>
        <v>4</v>
      </c>
      <c r="S14" t="s">
        <v>171</v>
      </c>
      <c r="T14" s="17">
        <f>P14*AA9</f>
        <v>2.25</v>
      </c>
      <c r="U14" t="s">
        <v>55</v>
      </c>
      <c r="AH14" t="s">
        <v>386</v>
      </c>
    </row>
    <row r="15" spans="1:37" x14ac:dyDescent="0.25">
      <c r="A15" s="14" t="s">
        <v>173</v>
      </c>
      <c r="B15" t="str">
        <f>CONCATENATE(N15,O15,P15,Q15,R15,S15,T15,U15,V15,W15,X15,Y15,Z15,AA15,AB15,AC15)</f>
        <v xml:space="preserve">11.25 in &gt; 6db → 11.25 in &gt; 4.5 in </v>
      </c>
      <c r="I15" s="14"/>
      <c r="J15" s="83"/>
      <c r="K15" s="78" t="b">
        <f>AND(R14&gt;T14,R15&gt;T15)</f>
        <v>1</v>
      </c>
      <c r="N15" s="17">
        <f>StemDesign_PartA!Q83-AA9</f>
        <v>11.25</v>
      </c>
      <c r="O15" t="s">
        <v>171</v>
      </c>
      <c r="P15" s="16">
        <v>6</v>
      </c>
      <c r="Q15" t="s">
        <v>172</v>
      </c>
      <c r="R15" s="17">
        <f>N15</f>
        <v>11.25</v>
      </c>
      <c r="S15" t="s">
        <v>171</v>
      </c>
      <c r="T15" s="17">
        <f>P15*AA9</f>
        <v>4.5</v>
      </c>
      <c r="U15" t="s">
        <v>55</v>
      </c>
    </row>
    <row r="16" spans="1:37" x14ac:dyDescent="0.25">
      <c r="A16" s="14" t="s">
        <v>174</v>
      </c>
      <c r="B16" t="str">
        <f>CONCATENATE(N16,O16,P16,Q16,R16,S16,T16,U16,V16,W16,X16,Y16,Z16,AA16,AB16,AC16)</f>
        <v>1.2</v>
      </c>
      <c r="C16" t="s">
        <v>245</v>
      </c>
      <c r="N16" s="17">
        <f>IF(K15=TRUE, 1.2, 1.5)</f>
        <v>1.2</v>
      </c>
    </row>
    <row r="17" spans="1:41" x14ac:dyDescent="0.25">
      <c r="A17" s="14"/>
      <c r="N17" s="22"/>
    </row>
    <row r="18" spans="1:41" x14ac:dyDescent="0.25">
      <c r="A18" s="15" t="s">
        <v>246</v>
      </c>
      <c r="N18" s="22"/>
    </row>
    <row r="19" spans="1:41" x14ac:dyDescent="0.25">
      <c r="A19" s="14" t="s">
        <v>175</v>
      </c>
      <c r="B19" t="str">
        <f>CONCATENATE(N19,O19,P19,Q19,R19,S19,T19,U19,V19,W19,X19,Y19,Z19,AA19,AB19,AC19)</f>
        <v>As req'd / As prov'd = 0.37sq in / 0.44sq in = 0.84</v>
      </c>
      <c r="K19" s="103" t="s">
        <v>280</v>
      </c>
      <c r="N19" t="s">
        <v>250</v>
      </c>
      <c r="O19" s="72">
        <v>0.37</v>
      </c>
      <c r="P19" t="s">
        <v>248</v>
      </c>
      <c r="Q19" s="82">
        <f>StemDesign_PartA!T84</f>
        <v>0.44</v>
      </c>
      <c r="R19" t="s">
        <v>249</v>
      </c>
      <c r="T19" s="82">
        <f>ROUND(O19/Q19,2)</f>
        <v>0.84</v>
      </c>
    </row>
    <row r="20" spans="1:41" x14ac:dyDescent="0.25">
      <c r="A20" s="14"/>
    </row>
    <row r="21" spans="1:41" x14ac:dyDescent="0.25">
      <c r="A21" s="14" t="s">
        <v>247</v>
      </c>
      <c r="B21" t="str">
        <f t="shared" ref="B21" si="0">CONCATENATE(N21,O21,P21,Q21,R21,S21,T21,U21,V21,W21,X21,Y21,Z21,AA21,AB21,AC21)</f>
        <v>ldb x MF1 x MF2 = 18 in x 1.2 x 0.84 = 18.14 in</v>
      </c>
      <c r="K21" s="103" t="s">
        <v>281</v>
      </c>
      <c r="N21" t="s">
        <v>251</v>
      </c>
      <c r="O21" s="17">
        <f>N11</f>
        <v>18</v>
      </c>
      <c r="P21" t="s">
        <v>233</v>
      </c>
      <c r="Q21" s="17">
        <f>N16</f>
        <v>1.2</v>
      </c>
      <c r="R21" t="s">
        <v>7</v>
      </c>
      <c r="S21" s="17">
        <f>T19</f>
        <v>0.84</v>
      </c>
      <c r="T21" t="s">
        <v>34</v>
      </c>
      <c r="U21" s="17">
        <f>ROUND(O21*Q21*S21,2)</f>
        <v>18.14</v>
      </c>
      <c r="V21" t="s">
        <v>75</v>
      </c>
      <c r="AH21" s="17">
        <f>AH11</f>
        <v>53.999999999999993</v>
      </c>
      <c r="AI21" t="s">
        <v>233</v>
      </c>
      <c r="AJ21" s="17">
        <f>N16</f>
        <v>1.2</v>
      </c>
      <c r="AK21" t="s">
        <v>7</v>
      </c>
      <c r="AL21" s="17">
        <f>T19</f>
        <v>0.84</v>
      </c>
      <c r="AM21" t="s">
        <v>34</v>
      </c>
      <c r="AN21" s="17">
        <f>ROUND(AH21*AJ21*AL21,2)</f>
        <v>54.43</v>
      </c>
      <c r="AO21" t="s">
        <v>75</v>
      </c>
    </row>
    <row r="22" spans="1:41" x14ac:dyDescent="0.25">
      <c r="A22" s="14"/>
      <c r="K22" s="100" t="str">
        <f>CONCATENATE(N22,O22,P22,Q22,R22,S22,T22,U22,V22,W22,X22,Y22,Z22,AA22,AB22,AC22)</f>
        <v>Use 18.25 in</v>
      </c>
      <c r="N22" s="23" t="s">
        <v>263</v>
      </c>
      <c r="O22" s="98">
        <f>MROUND(U21+0.125,0.25)</f>
        <v>18.25</v>
      </c>
      <c r="P22" s="99" t="s">
        <v>75</v>
      </c>
      <c r="AG22" s="23" t="s">
        <v>263</v>
      </c>
      <c r="AH22" s="98">
        <f>MROUND(AN21+0.125,0.25)</f>
        <v>54.5</v>
      </c>
      <c r="AI22" s="99" t="s">
        <v>75</v>
      </c>
    </row>
    <row r="23" spans="1:41" x14ac:dyDescent="0.25">
      <c r="A23" s="14"/>
      <c r="K23" s="100"/>
      <c r="N23" s="23"/>
      <c r="O23" s="98"/>
      <c r="P23" s="99"/>
    </row>
    <row r="24" spans="1:41" x14ac:dyDescent="0.25">
      <c r="A24" s="13" t="s">
        <v>176</v>
      </c>
    </row>
    <row r="25" spans="1:41" x14ac:dyDescent="0.25">
      <c r="A25" s="108" t="s">
        <v>282</v>
      </c>
    </row>
    <row r="26" spans="1:41" x14ac:dyDescent="0.25">
      <c r="A26" s="15" t="s">
        <v>254</v>
      </c>
    </row>
    <row r="27" spans="1:41" x14ac:dyDescent="0.25">
      <c r="A27" s="14" t="s">
        <v>253</v>
      </c>
      <c r="B27" t="str">
        <f>CONCATENATE(N27,O27,P27,Q27,R27,S27,T27,U27,V27,W27,X27,Y27,Z27,AA27,AB27)</f>
        <v>(38db)/(f'c^0.5) x Applicable Mod Factors</v>
      </c>
      <c r="M27" s="84"/>
      <c r="N27" s="84" t="s">
        <v>255</v>
      </c>
      <c r="O27" s="84"/>
      <c r="P27" s="84"/>
      <c r="Q27" s="84"/>
      <c r="R27" s="84"/>
      <c r="S27" s="84"/>
      <c r="T27" s="84"/>
      <c r="U27" s="84"/>
      <c r="V27" s="84"/>
      <c r="W27" s="84"/>
      <c r="X27" s="84"/>
    </row>
    <row r="28" spans="1:41" x14ac:dyDescent="0.25">
      <c r="A28" s="14" t="s">
        <v>253</v>
      </c>
      <c r="B28" t="str">
        <f>CONCATENATE(N28,O28,P28,Q28,R28,S28,T28,U28,V28,W28,X28,Y28,Z28,AA28,AB28)</f>
        <v>(38 x 0.75 in ) / (4^0.5) ksi</v>
      </c>
      <c r="C28" s="21"/>
      <c r="D28" s="21"/>
      <c r="E28" s="21"/>
      <c r="F28" s="21"/>
      <c r="G28" s="21"/>
      <c r="H28" s="21"/>
      <c r="I28" s="21"/>
      <c r="J28" s="21"/>
      <c r="K28" s="21"/>
      <c r="M28" s="84"/>
      <c r="N28" t="s">
        <v>35</v>
      </c>
      <c r="O28" s="16">
        <v>38</v>
      </c>
      <c r="P28" t="s">
        <v>7</v>
      </c>
      <c r="Q28" s="17">
        <f>AA9</f>
        <v>0.75</v>
      </c>
      <c r="T28" t="s">
        <v>252</v>
      </c>
      <c r="U28" s="17">
        <f>U9</f>
        <v>4</v>
      </c>
      <c r="V28" t="s">
        <v>53</v>
      </c>
      <c r="W28" s="16">
        <v>0.5</v>
      </c>
      <c r="X28" t="s">
        <v>256</v>
      </c>
    </row>
    <row r="29" spans="1:41" x14ac:dyDescent="0.25">
      <c r="A29" s="14" t="s">
        <v>253</v>
      </c>
      <c r="B29" t="str">
        <f>CONCATENATE(N29,O29,P29,Q29,R29,S29,T29,U29,V29,W29,X29,Y29,Z29,AA29,AB29)</f>
        <v xml:space="preserve">14.3 in </v>
      </c>
      <c r="M29" s="84"/>
      <c r="N29" s="17">
        <f>ROUND((O28*Q28)/(U28^W28),1)</f>
        <v>14.3</v>
      </c>
      <c r="O29" t="s">
        <v>55</v>
      </c>
      <c r="V29" s="84"/>
      <c r="W29" s="84"/>
      <c r="X29" s="84"/>
    </row>
    <row r="30" spans="1:41" x14ac:dyDescent="0.25">
      <c r="A30" s="15" t="s">
        <v>177</v>
      </c>
      <c r="K30" s="40"/>
    </row>
    <row r="31" spans="1:41" x14ac:dyDescent="0.25">
      <c r="A31" s="14" t="s">
        <v>257</v>
      </c>
      <c r="B31" s="15">
        <f>N31</f>
        <v>1.2</v>
      </c>
      <c r="C31" t="s">
        <v>259</v>
      </c>
      <c r="N31" s="17">
        <f>N16</f>
        <v>1.2</v>
      </c>
      <c r="S31" s="22"/>
    </row>
    <row r="32" spans="1:41" x14ac:dyDescent="0.25">
      <c r="A32" s="14" t="s">
        <v>258</v>
      </c>
      <c r="B32" s="15">
        <f>N32</f>
        <v>0.84</v>
      </c>
      <c r="C32" t="s">
        <v>260</v>
      </c>
      <c r="N32" s="17">
        <f>T19</f>
        <v>0.84</v>
      </c>
    </row>
    <row r="33" spans="1:22" x14ac:dyDescent="0.25">
      <c r="A33" s="14"/>
      <c r="E33" s="49"/>
      <c r="K33" s="40"/>
    </row>
    <row r="34" spans="1:22" x14ac:dyDescent="0.25">
      <c r="A34" s="14" t="s">
        <v>261</v>
      </c>
      <c r="B34" t="str">
        <f>CONCATENATE(N34,O34,P34,Q34,R34,S34,T34,U34,V34,W34,X34,Y34,Z34,AA34,AB34,AC34)</f>
        <v>14.41 in</v>
      </c>
      <c r="C34" s="14"/>
      <c r="N34" s="17">
        <f>ROUND(N29*N31*N32,2)</f>
        <v>14.41</v>
      </c>
      <c r="O34" t="s">
        <v>75</v>
      </c>
    </row>
    <row r="35" spans="1:22" x14ac:dyDescent="0.25">
      <c r="B35" s="21" t="s">
        <v>146</v>
      </c>
    </row>
    <row r="36" spans="1:22" ht="15" customHeight="1" x14ac:dyDescent="0.25">
      <c r="A36" s="14"/>
      <c r="B36" t="str">
        <f>CONCATENATE(N36,O36,P36,Q36,R36,S36,T36,U36,V36,W36,X36,Y36,Z36,AA36,AB36,AC36)</f>
        <v>8 db = 8 x 0.75 in = 6 in</v>
      </c>
      <c r="C36" s="85"/>
      <c r="D36" s="85"/>
      <c r="E36" s="24"/>
      <c r="F36" s="85"/>
      <c r="G36" s="85"/>
      <c r="N36" t="s">
        <v>262</v>
      </c>
      <c r="O36" s="16">
        <v>8</v>
      </c>
      <c r="P36" t="s">
        <v>7</v>
      </c>
      <c r="Q36" s="17">
        <f>AA9</f>
        <v>0.75</v>
      </c>
      <c r="R36" t="s">
        <v>91</v>
      </c>
      <c r="S36" s="19">
        <f>ROUND(O36*Q36,2)</f>
        <v>6</v>
      </c>
      <c r="T36" t="s">
        <v>75</v>
      </c>
    </row>
    <row r="37" spans="1:22" x14ac:dyDescent="0.25">
      <c r="B37" s="21" t="s">
        <v>146</v>
      </c>
      <c r="C37" s="86"/>
      <c r="D37" s="21"/>
      <c r="E37" s="21"/>
      <c r="F37" s="21"/>
      <c r="G37" s="86"/>
      <c r="I37" s="51"/>
      <c r="N37" s="84"/>
    </row>
    <row r="38" spans="1:22" x14ac:dyDescent="0.25">
      <c r="A38" s="23"/>
      <c r="B38" t="str">
        <f>CONCATENATE(N38,O38,P38,Q38,R38,S38,T38,U38,V38,W38,X38,Y38,Z38,AA38,AB38,AC38)</f>
        <v>6 in</v>
      </c>
      <c r="C38" s="86"/>
      <c r="D38" s="21"/>
      <c r="E38" s="21"/>
      <c r="F38" s="21"/>
      <c r="G38" s="86"/>
      <c r="N38" s="16">
        <v>6</v>
      </c>
      <c r="O38" s="84" t="s">
        <v>75</v>
      </c>
    </row>
    <row r="39" spans="1:22" x14ac:dyDescent="0.25">
      <c r="D39" s="21"/>
      <c r="E39" s="21"/>
      <c r="F39" s="21"/>
      <c r="G39" s="86"/>
      <c r="K39" s="100" t="str">
        <f>CONCATENATE(N39,O39,P39,Q39,R39,S39,T39,U39,V39,W39,X39,Y39,Z39,AA39,AB39,AC39)</f>
        <v>Use 14.41 in</v>
      </c>
      <c r="N39" s="23" t="s">
        <v>263</v>
      </c>
      <c r="O39" s="98">
        <f>MAX(N34,S36,N38)</f>
        <v>14.41</v>
      </c>
      <c r="P39" s="99" t="s">
        <v>75</v>
      </c>
      <c r="T39" s="84"/>
      <c r="V39" s="84"/>
    </row>
    <row r="40" spans="1:22" x14ac:dyDescent="0.25">
      <c r="A40" s="23"/>
      <c r="B40" t="str">
        <f t="shared" ref="B40:B41" si="1">CONCATENATE(N40,O40,P40,Q40,R40,S40,T40,U40,V40,W40,X40,Y40,Z40,AA40,AB40,AC40)</f>
        <v/>
      </c>
      <c r="C40" s="87"/>
      <c r="D40" s="21"/>
      <c r="E40" s="21"/>
      <c r="F40" s="21"/>
      <c r="G40" s="86"/>
    </row>
    <row r="41" spans="1:22" x14ac:dyDescent="0.25">
      <c r="A41" s="23"/>
      <c r="B41" t="str">
        <f t="shared" si="1"/>
        <v/>
      </c>
      <c r="C41" s="87"/>
      <c r="D41" s="21"/>
      <c r="E41" s="21"/>
      <c r="F41" s="21"/>
      <c r="G41" s="86"/>
    </row>
    <row r="42" spans="1:22" x14ac:dyDescent="0.25">
      <c r="A42" s="23"/>
      <c r="B42" s="86"/>
      <c r="C42" s="87"/>
      <c r="D42" s="21"/>
      <c r="E42" s="21"/>
      <c r="F42" s="21"/>
      <c r="G42" s="86"/>
    </row>
    <row r="43" spans="1:22" x14ac:dyDescent="0.25">
      <c r="A43" s="23"/>
      <c r="B43" s="86"/>
      <c r="C43" s="87"/>
      <c r="D43" s="21"/>
      <c r="E43" s="21"/>
      <c r="F43" s="21"/>
      <c r="G43" s="86"/>
    </row>
    <row r="44" spans="1:22" x14ac:dyDescent="0.25">
      <c r="A44" s="23"/>
      <c r="B44" s="86"/>
      <c r="C44" s="87"/>
      <c r="D44" s="21"/>
      <c r="E44" s="21"/>
      <c r="F44" s="21"/>
      <c r="G44" s="86"/>
    </row>
    <row r="45" spans="1:22" s="24" customFormat="1" x14ac:dyDescent="0.25">
      <c r="A45" s="23"/>
      <c r="C45" s="23"/>
      <c r="D45" s="25"/>
      <c r="F45" s="23"/>
      <c r="G45" s="25"/>
      <c r="L45" s="12"/>
    </row>
    <row r="46" spans="1:22" x14ac:dyDescent="0.25">
      <c r="A46" s="42"/>
    </row>
    <row r="47" spans="1:22" x14ac:dyDescent="0.25">
      <c r="A47" s="18"/>
      <c r="B47" s="1"/>
      <c r="C47" s="2"/>
      <c r="D47" s="2"/>
      <c r="E47" s="18"/>
      <c r="F47" s="18"/>
      <c r="G47" s="3"/>
      <c r="H47" s="88"/>
      <c r="I47" s="5"/>
      <c r="J47" s="3"/>
      <c r="K47" s="89"/>
    </row>
    <row r="48" spans="1:22" x14ac:dyDescent="0.25">
      <c r="A48" s="18"/>
      <c r="B48" s="3"/>
      <c r="C48" s="90"/>
      <c r="D48" s="90"/>
      <c r="E48" s="18"/>
      <c r="F48" s="18"/>
      <c r="G48" s="5"/>
      <c r="H48" s="18"/>
      <c r="I48" s="5"/>
      <c r="J48" s="5"/>
      <c r="K48" s="5"/>
    </row>
    <row r="49" spans="1:11" x14ac:dyDescent="0.25">
      <c r="A49" s="97" t="str">
        <f ca="1">CELL("filename")</f>
        <v>c:\users\mclark3\appdata\local\bentley\projectwise\workingdir\ohiodot-pw.bentley.com_ohiodot-pw-02\michael.clark@dot.ohio.gov\d0512215\[108525-Abutment Pile Loading.xlsx]Calcs</v>
      </c>
      <c r="B49" s="3"/>
      <c r="C49" s="90"/>
      <c r="D49" s="8"/>
      <c r="E49" s="18"/>
      <c r="F49" s="18"/>
      <c r="G49" s="3"/>
      <c r="H49" s="91"/>
      <c r="I49" s="5"/>
      <c r="J49" s="3"/>
      <c r="K49" s="89"/>
    </row>
  </sheetData>
  <mergeCells count="1">
    <mergeCell ref="A1:A4"/>
  </mergeCells>
  <pageMargins left="0.5" right="0.5" top="0.5" bottom="0.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D17"/>
  <sheetViews>
    <sheetView workbookViewId="0">
      <selection activeCell="E14" sqref="E14"/>
    </sheetView>
  </sheetViews>
  <sheetFormatPr defaultRowHeight="15" x14ac:dyDescent="0.25"/>
  <cols>
    <col min="2" max="4" width="12.7109375" customWidth="1"/>
  </cols>
  <sheetData>
    <row r="5" spans="2:4" x14ac:dyDescent="0.25">
      <c r="B5" s="115" t="s">
        <v>100</v>
      </c>
      <c r="C5" s="115"/>
      <c r="D5" s="115"/>
    </row>
    <row r="6" spans="2:4" x14ac:dyDescent="0.25">
      <c r="B6" s="46" t="s">
        <v>101</v>
      </c>
      <c r="C6" s="46" t="s">
        <v>102</v>
      </c>
      <c r="D6" s="46" t="s">
        <v>103</v>
      </c>
    </row>
    <row r="7" spans="2:4" x14ac:dyDescent="0.25">
      <c r="B7" s="27">
        <v>3</v>
      </c>
      <c r="C7" s="47">
        <f t="shared" ref="C7:C12" si="0">B7/8</f>
        <v>0.375</v>
      </c>
      <c r="D7" s="28">
        <v>0.11</v>
      </c>
    </row>
    <row r="8" spans="2:4" x14ac:dyDescent="0.25">
      <c r="B8" s="27">
        <v>4</v>
      </c>
      <c r="C8" s="47">
        <f t="shared" si="0"/>
        <v>0.5</v>
      </c>
      <c r="D8" s="28">
        <v>0.2</v>
      </c>
    </row>
    <row r="9" spans="2:4" x14ac:dyDescent="0.25">
      <c r="B9" s="27">
        <v>5</v>
      </c>
      <c r="C9" s="47">
        <f t="shared" si="0"/>
        <v>0.625</v>
      </c>
      <c r="D9" s="28">
        <v>0.31</v>
      </c>
    </row>
    <row r="10" spans="2:4" x14ac:dyDescent="0.25">
      <c r="B10" s="27">
        <v>6</v>
      </c>
      <c r="C10" s="47">
        <f t="shared" si="0"/>
        <v>0.75</v>
      </c>
      <c r="D10" s="28">
        <v>0.44</v>
      </c>
    </row>
    <row r="11" spans="2:4" x14ac:dyDescent="0.25">
      <c r="B11" s="27">
        <v>7</v>
      </c>
      <c r="C11" s="47">
        <f t="shared" si="0"/>
        <v>0.875</v>
      </c>
      <c r="D11" s="28">
        <v>0.6</v>
      </c>
    </row>
    <row r="12" spans="2:4" x14ac:dyDescent="0.25">
      <c r="B12" s="27">
        <v>8</v>
      </c>
      <c r="C12" s="47">
        <f t="shared" si="0"/>
        <v>1</v>
      </c>
      <c r="D12" s="28">
        <v>0.79</v>
      </c>
    </row>
    <row r="13" spans="2:4" x14ac:dyDescent="0.25">
      <c r="B13" s="27">
        <v>9</v>
      </c>
      <c r="C13" s="47">
        <v>1.1279999999999999</v>
      </c>
      <c r="D13" s="28">
        <v>1</v>
      </c>
    </row>
    <row r="14" spans="2:4" x14ac:dyDescent="0.25">
      <c r="B14" s="27">
        <v>10</v>
      </c>
      <c r="C14" s="47">
        <v>1.27</v>
      </c>
      <c r="D14" s="28">
        <v>1.27</v>
      </c>
    </row>
    <row r="15" spans="2:4" x14ac:dyDescent="0.25">
      <c r="B15" s="27">
        <v>11</v>
      </c>
      <c r="C15" s="47">
        <v>1.41</v>
      </c>
      <c r="D15" s="28">
        <v>1.56</v>
      </c>
    </row>
    <row r="16" spans="2:4" x14ac:dyDescent="0.25">
      <c r="B16" s="27">
        <v>14</v>
      </c>
      <c r="C16" s="47">
        <v>1.6930000000000001</v>
      </c>
      <c r="D16" s="28">
        <v>2.25</v>
      </c>
    </row>
    <row r="17" spans="2:4" x14ac:dyDescent="0.25">
      <c r="B17" s="27">
        <v>18</v>
      </c>
      <c r="C17" s="47">
        <v>2.2570000000000001</v>
      </c>
      <c r="D17" s="28">
        <v>4</v>
      </c>
    </row>
  </sheetData>
  <mergeCells count="1">
    <mergeCell ref="B5:D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6331D-56FB-4837-A967-BF1748C0AC50}">
  <dimension ref="A1:AE86"/>
  <sheetViews>
    <sheetView topLeftCell="A19" workbookViewId="0">
      <selection activeCell="A60" sqref="A60:A62"/>
    </sheetView>
  </sheetViews>
  <sheetFormatPr defaultRowHeight="15" x14ac:dyDescent="0.25"/>
  <sheetData>
    <row r="1" spans="1:5" x14ac:dyDescent="0.25">
      <c r="A1" s="24" t="s">
        <v>332</v>
      </c>
    </row>
    <row r="2" spans="1:5" x14ac:dyDescent="0.25">
      <c r="A2" s="24"/>
    </row>
    <row r="3" spans="1:5" x14ac:dyDescent="0.25">
      <c r="A3" s="24" t="s">
        <v>336</v>
      </c>
    </row>
    <row r="4" spans="1:5" x14ac:dyDescent="0.25">
      <c r="A4" s="24"/>
    </row>
    <row r="5" spans="1:5" x14ac:dyDescent="0.25">
      <c r="A5" t="s">
        <v>337</v>
      </c>
      <c r="D5" s="16">
        <v>6.95</v>
      </c>
      <c r="E5" t="s">
        <v>290</v>
      </c>
    </row>
    <row r="6" spans="1:5" x14ac:dyDescent="0.25">
      <c r="A6" t="s">
        <v>343</v>
      </c>
      <c r="D6" s="16">
        <v>16</v>
      </c>
      <c r="E6" t="s">
        <v>290</v>
      </c>
    </row>
    <row r="7" spans="1:5" x14ac:dyDescent="0.25">
      <c r="A7" t="s">
        <v>338</v>
      </c>
      <c r="D7" s="16">
        <f>(4.89+5.14)/2</f>
        <v>5.0149999999999997</v>
      </c>
      <c r="E7" t="s">
        <v>290</v>
      </c>
    </row>
    <row r="8" spans="1:5" x14ac:dyDescent="0.25">
      <c r="A8" t="s">
        <v>339</v>
      </c>
      <c r="D8" s="16">
        <v>32.5</v>
      </c>
      <c r="E8" t="s">
        <v>290</v>
      </c>
    </row>
    <row r="9" spans="1:5" x14ac:dyDescent="0.25">
      <c r="A9" t="s">
        <v>340</v>
      </c>
      <c r="D9" s="16">
        <v>0.98</v>
      </c>
      <c r="E9" t="s">
        <v>290</v>
      </c>
    </row>
    <row r="10" spans="1:5" x14ac:dyDescent="0.25">
      <c r="A10" t="s">
        <v>341</v>
      </c>
      <c r="D10" s="16">
        <f>11/12</f>
        <v>0.91666666666666663</v>
      </c>
      <c r="E10" t="s">
        <v>290</v>
      </c>
    </row>
    <row r="11" spans="1:5" x14ac:dyDescent="0.25">
      <c r="A11" t="s">
        <v>342</v>
      </c>
      <c r="D11" s="16">
        <v>32.5</v>
      </c>
      <c r="E11" t="s">
        <v>290</v>
      </c>
    </row>
    <row r="12" spans="1:5" x14ac:dyDescent="0.25">
      <c r="A12" t="s">
        <v>387</v>
      </c>
      <c r="D12" s="16">
        <v>2.5</v>
      </c>
      <c r="E12" t="s">
        <v>290</v>
      </c>
    </row>
    <row r="13" spans="1:5" x14ac:dyDescent="0.25">
      <c r="D13" s="16"/>
    </row>
    <row r="15" spans="1:5" x14ac:dyDescent="0.25">
      <c r="A15" s="109" t="s">
        <v>335</v>
      </c>
    </row>
    <row r="17" spans="1:5" x14ac:dyDescent="0.25">
      <c r="A17" s="24" t="s">
        <v>283</v>
      </c>
    </row>
    <row r="18" spans="1:5" x14ac:dyDescent="0.25">
      <c r="A18" s="24"/>
    </row>
    <row r="19" spans="1:5" x14ac:dyDescent="0.25">
      <c r="A19" t="s">
        <v>286</v>
      </c>
    </row>
    <row r="20" spans="1:5" ht="17.25" x14ac:dyDescent="0.25">
      <c r="A20" t="s">
        <v>284</v>
      </c>
      <c r="C20" s="16">
        <v>5.6405000000000003</v>
      </c>
      <c r="D20" t="s">
        <v>287</v>
      </c>
    </row>
    <row r="21" spans="1:5" ht="17.25" x14ac:dyDescent="0.25">
      <c r="A21" t="s">
        <v>285</v>
      </c>
      <c r="C21" s="16">
        <v>4.1300999999999997</v>
      </c>
      <c r="D21" t="s">
        <v>287</v>
      </c>
    </row>
    <row r="22" spans="1:5" x14ac:dyDescent="0.25">
      <c r="A22" t="s">
        <v>288</v>
      </c>
    </row>
    <row r="23" spans="1:5" ht="17.25" x14ac:dyDescent="0.25">
      <c r="A23" t="s">
        <v>284</v>
      </c>
      <c r="C23" s="16">
        <v>5.6143000000000001</v>
      </c>
      <c r="D23" t="s">
        <v>287</v>
      </c>
    </row>
    <row r="24" spans="1:5" ht="17.25" x14ac:dyDescent="0.25">
      <c r="A24" t="s">
        <v>285</v>
      </c>
      <c r="C24" s="16">
        <v>4.1039000000000003</v>
      </c>
      <c r="D24" t="s">
        <v>287</v>
      </c>
    </row>
    <row r="26" spans="1:5" x14ac:dyDescent="0.25">
      <c r="A26" t="s">
        <v>289</v>
      </c>
      <c r="C26" s="16">
        <v>39</v>
      </c>
      <c r="D26" t="s">
        <v>290</v>
      </c>
      <c r="E26" t="s">
        <v>101</v>
      </c>
    </row>
    <row r="27" spans="1:5" x14ac:dyDescent="0.25">
      <c r="A27" t="s">
        <v>291</v>
      </c>
      <c r="C27" s="16">
        <v>3</v>
      </c>
      <c r="D27" t="s">
        <v>296</v>
      </c>
      <c r="E27" s="72">
        <v>2</v>
      </c>
    </row>
    <row r="28" spans="1:5" x14ac:dyDescent="0.25">
      <c r="A28" t="s">
        <v>292</v>
      </c>
      <c r="C28" s="16">
        <v>1.5</v>
      </c>
      <c r="D28" t="s">
        <v>296</v>
      </c>
      <c r="E28" s="72">
        <v>1</v>
      </c>
    </row>
    <row r="29" spans="1:5" x14ac:dyDescent="0.25">
      <c r="A29" t="s">
        <v>293</v>
      </c>
      <c r="C29" s="17">
        <f>C26-(C27*E27)-(C28*E28)</f>
        <v>31.5</v>
      </c>
      <c r="D29" t="s">
        <v>290</v>
      </c>
      <c r="E29" s="15"/>
    </row>
    <row r="30" spans="1:5" ht="17.25" x14ac:dyDescent="0.25">
      <c r="A30" t="s">
        <v>294</v>
      </c>
      <c r="C30" s="16">
        <v>0.15</v>
      </c>
      <c r="D30" t="s">
        <v>295</v>
      </c>
    </row>
    <row r="31" spans="1:5" ht="17.25" x14ac:dyDescent="0.25">
      <c r="C31" s="16"/>
    </row>
    <row r="32" spans="1:5" x14ac:dyDescent="0.25">
      <c r="A32" s="24" t="s">
        <v>304</v>
      </c>
    </row>
    <row r="33" spans="1:31" ht="17.25" x14ac:dyDescent="0.25">
      <c r="A33" t="s">
        <v>294</v>
      </c>
      <c r="B33" t="str">
        <f>CONCATENATE(M33,N33,O33,P33,Q33,R33,S33,T33,U33,V33,W33,X33,Y33,Z33,AA33,AB33,AC33,AD33,AE33)</f>
        <v>[(3 FT x 5.6405 FT2 x 2 EACH) + (31.5FT x 4.1301 FT2 ) + (1.5FT x 5.6405 FT2 )] x 0.15k/FT3 = 25.86 k</v>
      </c>
      <c r="M33" t="s">
        <v>211</v>
      </c>
      <c r="N33" s="16">
        <f>C27</f>
        <v>3</v>
      </c>
      <c r="O33" t="s">
        <v>302</v>
      </c>
      <c r="P33" s="16">
        <f>C20</f>
        <v>5.6405000000000003</v>
      </c>
      <c r="Q33" t="s">
        <v>303</v>
      </c>
      <c r="R33" s="16">
        <f>E27</f>
        <v>2</v>
      </c>
      <c r="S33" t="s">
        <v>298</v>
      </c>
      <c r="T33" s="17">
        <f>C29</f>
        <v>31.5</v>
      </c>
      <c r="U33" t="s">
        <v>297</v>
      </c>
      <c r="V33" s="16">
        <f>C21</f>
        <v>4.1300999999999997</v>
      </c>
      <c r="W33" t="s">
        <v>301</v>
      </c>
      <c r="X33" s="16">
        <f>C28</f>
        <v>1.5</v>
      </c>
      <c r="Y33" t="s">
        <v>297</v>
      </c>
      <c r="Z33" s="16">
        <f>C20</f>
        <v>5.6405000000000003</v>
      </c>
      <c r="AA33" t="s">
        <v>300</v>
      </c>
      <c r="AB33" s="16">
        <f>C30</f>
        <v>0.15</v>
      </c>
      <c r="AC33" t="s">
        <v>299</v>
      </c>
      <c r="AD33" s="17">
        <f>ROUND(((N33*P33*R33)+(T33*V33)+(X33*Z33))*AB33,2)</f>
        <v>25.86</v>
      </c>
      <c r="AE33" t="s">
        <v>157</v>
      </c>
    </row>
    <row r="35" spans="1:31" x14ac:dyDescent="0.25">
      <c r="A35" s="24" t="s">
        <v>305</v>
      </c>
    </row>
    <row r="36" spans="1:31" ht="17.25" x14ac:dyDescent="0.25">
      <c r="A36" t="s">
        <v>294</v>
      </c>
      <c r="B36" t="str">
        <f>CONCATENATE(M36,N36,O36,P36,Q36,R36,S36,T36,U36,V36,W36,X36,Y36,Z36,AA36,AB36,AC36,AD36,AE36)</f>
        <v>[(3 FT x 5.6143 FT2 x 2 EACH) + (31.5FT x 4.1039 FT2 ) + (1.5FT x 5.6143 FT2 )] x 0.15k/FT3 = 25.71 k</v>
      </c>
      <c r="M36" t="s">
        <v>211</v>
      </c>
      <c r="N36" s="16">
        <f>C27</f>
        <v>3</v>
      </c>
      <c r="O36" t="s">
        <v>302</v>
      </c>
      <c r="P36" s="16">
        <f>C23</f>
        <v>5.6143000000000001</v>
      </c>
      <c r="Q36" t="s">
        <v>303</v>
      </c>
      <c r="R36" s="16">
        <f>E27</f>
        <v>2</v>
      </c>
      <c r="S36" t="s">
        <v>298</v>
      </c>
      <c r="T36" s="17">
        <f>C29</f>
        <v>31.5</v>
      </c>
      <c r="U36" t="s">
        <v>297</v>
      </c>
      <c r="V36" s="16">
        <f>C24</f>
        <v>4.1039000000000003</v>
      </c>
      <c r="W36" t="s">
        <v>301</v>
      </c>
      <c r="X36" s="16">
        <f>C28</f>
        <v>1.5</v>
      </c>
      <c r="Y36" t="s">
        <v>297</v>
      </c>
      <c r="Z36" s="16">
        <f>C23</f>
        <v>5.6143000000000001</v>
      </c>
      <c r="AA36" t="s">
        <v>300</v>
      </c>
      <c r="AB36" s="16">
        <f>C30</f>
        <v>0.15</v>
      </c>
      <c r="AC36" t="s">
        <v>299</v>
      </c>
      <c r="AD36" s="17">
        <f>ROUND(((N36*P36*R36)+(T36*V36)+(X36*Z36))*AB36,2)</f>
        <v>25.71</v>
      </c>
      <c r="AE36" t="s">
        <v>157</v>
      </c>
    </row>
    <row r="38" spans="1:31" x14ac:dyDescent="0.25">
      <c r="A38" s="24" t="s">
        <v>306</v>
      </c>
      <c r="C38" s="16">
        <v>0.08</v>
      </c>
      <c r="D38" t="s">
        <v>307</v>
      </c>
    </row>
    <row r="39" spans="1:31" x14ac:dyDescent="0.25">
      <c r="A39" t="s">
        <v>308</v>
      </c>
      <c r="C39" s="16">
        <v>39.17</v>
      </c>
      <c r="D39" t="s">
        <v>290</v>
      </c>
    </row>
    <row r="40" spans="1:31" x14ac:dyDescent="0.25">
      <c r="A40" t="s">
        <v>294</v>
      </c>
      <c r="B40" t="str">
        <f>CONCATENATE(M40,N40,O40,P40,Q40,R40,S40,T40,U40,V40,W40,X40,Y40,Z40,AA40,AB40,AC40,AD40,AE40)</f>
        <v>( 39.17 FT x 0.08 k-FT x 2 SIDES) = 6.27 k</v>
      </c>
      <c r="M40" t="s">
        <v>309</v>
      </c>
      <c r="N40" s="16">
        <f>C39</f>
        <v>39.17</v>
      </c>
      <c r="O40" t="s">
        <v>302</v>
      </c>
      <c r="P40" s="16">
        <f>C38</f>
        <v>0.08</v>
      </c>
      <c r="Q40" t="s">
        <v>310</v>
      </c>
      <c r="R40" s="16">
        <v>2</v>
      </c>
      <c r="S40" t="s">
        <v>311</v>
      </c>
      <c r="T40" s="17">
        <f>ROUND(N40*P40*R40, 2)</f>
        <v>6.27</v>
      </c>
      <c r="U40" t="s">
        <v>157</v>
      </c>
    </row>
    <row r="42" spans="1:31" x14ac:dyDescent="0.25">
      <c r="A42" s="24" t="s">
        <v>312</v>
      </c>
    </row>
    <row r="43" spans="1:31" x14ac:dyDescent="0.25">
      <c r="A43" t="s">
        <v>289</v>
      </c>
      <c r="C43" s="16">
        <v>39.17</v>
      </c>
      <c r="D43" t="s">
        <v>290</v>
      </c>
    </row>
    <row r="44" spans="1:31" x14ac:dyDescent="0.25">
      <c r="A44" t="s">
        <v>313</v>
      </c>
      <c r="C44" s="16">
        <v>32.33</v>
      </c>
      <c r="D44" t="s">
        <v>290</v>
      </c>
    </row>
    <row r="45" spans="1:31" x14ac:dyDescent="0.25">
      <c r="A45" t="s">
        <v>314</v>
      </c>
      <c r="C45" s="16">
        <v>0.5</v>
      </c>
      <c r="D45" t="s">
        <v>290</v>
      </c>
    </row>
    <row r="46" spans="1:31" ht="17.25" x14ac:dyDescent="0.25">
      <c r="A46" t="s">
        <v>294</v>
      </c>
      <c r="C46" s="16">
        <v>0.15</v>
      </c>
      <c r="D46" t="s">
        <v>295</v>
      </c>
    </row>
    <row r="48" spans="1:31" ht="17.25" x14ac:dyDescent="0.25">
      <c r="A48" t="s">
        <v>294</v>
      </c>
      <c r="B48" t="str">
        <f>CONCATENATE(M48,N48,O48,P48,Q48,R48,S48,T48,U48,V48,W48,X48,Y48,Z48,AA48,AB48,AC48,AD48,AE48)</f>
        <v>( 39.17 FT x 32.33 FT x 0.5 FT x 0.15 k/FT3 ) = 94.98 k</v>
      </c>
      <c r="M48" t="s">
        <v>309</v>
      </c>
      <c r="N48" s="16">
        <f>C43</f>
        <v>39.17</v>
      </c>
      <c r="O48" t="s">
        <v>302</v>
      </c>
      <c r="P48" s="16">
        <f>C44</f>
        <v>32.33</v>
      </c>
      <c r="Q48" t="s">
        <v>302</v>
      </c>
      <c r="R48" s="16">
        <f>C45</f>
        <v>0.5</v>
      </c>
      <c r="S48" t="s">
        <v>302</v>
      </c>
      <c r="T48" s="16">
        <f>C46</f>
        <v>0.15</v>
      </c>
      <c r="U48" t="s">
        <v>315</v>
      </c>
      <c r="V48" s="17">
        <f>ROUND(N48*P48*R48*T48, 2)</f>
        <v>94.98</v>
      </c>
      <c r="W48" t="s">
        <v>157</v>
      </c>
    </row>
    <row r="51" spans="1:29" x14ac:dyDescent="0.25">
      <c r="A51" s="24" t="s">
        <v>28</v>
      </c>
    </row>
    <row r="52" spans="1:29" x14ac:dyDescent="0.25">
      <c r="A52" s="24" t="s">
        <v>316</v>
      </c>
    </row>
    <row r="53" spans="1:29" x14ac:dyDescent="0.25">
      <c r="A53" t="s">
        <v>289</v>
      </c>
      <c r="C53" s="16">
        <v>20</v>
      </c>
      <c r="D53" t="s">
        <v>290</v>
      </c>
    </row>
    <row r="54" spans="1:29" x14ac:dyDescent="0.25">
      <c r="A54" t="s">
        <v>313</v>
      </c>
      <c r="C54" s="16">
        <v>32</v>
      </c>
      <c r="D54" t="s">
        <v>290</v>
      </c>
    </row>
    <row r="55" spans="1:29" x14ac:dyDescent="0.25">
      <c r="A55" t="s">
        <v>314</v>
      </c>
      <c r="C55" s="16">
        <v>13</v>
      </c>
      <c r="D55" t="s">
        <v>319</v>
      </c>
    </row>
    <row r="56" spans="1:29" ht="17.25" x14ac:dyDescent="0.25">
      <c r="A56" t="s">
        <v>294</v>
      </c>
      <c r="C56" s="16">
        <v>0.15</v>
      </c>
      <c r="D56" t="s">
        <v>295</v>
      </c>
    </row>
    <row r="57" spans="1:29" ht="17.25" x14ac:dyDescent="0.25">
      <c r="A57" t="s">
        <v>317</v>
      </c>
      <c r="C57" s="16">
        <v>0.06</v>
      </c>
      <c r="D57" t="s">
        <v>318</v>
      </c>
    </row>
    <row r="59" spans="1:29" ht="18.75" x14ac:dyDescent="0.35">
      <c r="A59" t="s">
        <v>321</v>
      </c>
      <c r="C59" t="str">
        <f>CONCATENATE(M59,N59,O59,P59,Q59,R59,S59,T59,U59,V59,W59,X59,Y59,Z59,AA59,AB59,AC59,AD59,AE59,AF59)</f>
        <v>(20 FT x 32 FT x (13 / 12) x 0.15 k/FT3 ) = 104 k</v>
      </c>
      <c r="M59" t="s">
        <v>35</v>
      </c>
      <c r="N59" s="16">
        <f>C53</f>
        <v>20</v>
      </c>
      <c r="O59" t="s">
        <v>302</v>
      </c>
      <c r="P59" s="16">
        <f>C54</f>
        <v>32</v>
      </c>
      <c r="Q59" t="s">
        <v>320</v>
      </c>
      <c r="R59" s="16">
        <f>C55</f>
        <v>13</v>
      </c>
      <c r="S59" t="s">
        <v>20</v>
      </c>
      <c r="T59" s="16">
        <v>12</v>
      </c>
      <c r="U59" t="s">
        <v>37</v>
      </c>
      <c r="V59" s="16">
        <f>C56</f>
        <v>0.15</v>
      </c>
      <c r="W59" t="s">
        <v>315</v>
      </c>
      <c r="X59" s="17">
        <f>ROUND(((N59*P59)*(R59/T59))*V59,2)</f>
        <v>104</v>
      </c>
      <c r="Y59" t="s">
        <v>157</v>
      </c>
    </row>
    <row r="60" spans="1:29" ht="18" x14ac:dyDescent="0.35">
      <c r="A60" t="s">
        <v>322</v>
      </c>
      <c r="C60" t="str">
        <f>CONCATENATE(M60,N60,O60,P60,Q60,R60,S60,T60,U60,V60,W60,X60,Y60,Z60,AA60,AB60,AC60,AD60,AE60,AF60)</f>
        <v>(104 k ) ( 2 / 3) ( 1 / 2) = 34.67 k (DC)</v>
      </c>
      <c r="M60" t="s">
        <v>35</v>
      </c>
      <c r="N60" s="17">
        <f>X59</f>
        <v>104</v>
      </c>
      <c r="O60" t="s">
        <v>323</v>
      </c>
      <c r="P60" s="16">
        <v>2</v>
      </c>
      <c r="Q60" t="s">
        <v>20</v>
      </c>
      <c r="R60" s="16">
        <v>3</v>
      </c>
      <c r="S60" t="s">
        <v>324</v>
      </c>
      <c r="T60" s="16">
        <v>1</v>
      </c>
      <c r="U60" t="s">
        <v>20</v>
      </c>
      <c r="V60" s="16">
        <v>2</v>
      </c>
      <c r="W60" t="s">
        <v>15</v>
      </c>
      <c r="X60" s="17">
        <f>ROUND(N60*P60/R60*T60/V60,2)</f>
        <v>34.67</v>
      </c>
      <c r="Y60" t="s">
        <v>325</v>
      </c>
    </row>
    <row r="61" spans="1:29" ht="18.75" x14ac:dyDescent="0.35">
      <c r="A61" t="s">
        <v>326</v>
      </c>
      <c r="C61" t="str">
        <f>CONCATENATE(M61,N61,O61,P61,Q61,R61,S61,T61,U61,V61,W61,X61,Y61,Z61,AA61,AB61,AC61,AD61,AE61,AF61)</f>
        <v>(0.06k/FT2 ) (20 FT ) x (32 FT ) x (2 / 3) ( 1 / 2) = 12.8 k (DW)</v>
      </c>
      <c r="M61" t="s">
        <v>35</v>
      </c>
      <c r="N61" s="16">
        <f>C57</f>
        <v>0.06</v>
      </c>
      <c r="O61" t="s">
        <v>327</v>
      </c>
      <c r="P61" s="16">
        <f>C53</f>
        <v>20</v>
      </c>
      <c r="Q61" t="s">
        <v>328</v>
      </c>
      <c r="R61" s="16">
        <f>C54</f>
        <v>32</v>
      </c>
      <c r="S61" t="s">
        <v>328</v>
      </c>
      <c r="T61" s="16">
        <v>2</v>
      </c>
      <c r="U61" t="s">
        <v>20</v>
      </c>
      <c r="V61" s="16">
        <v>3</v>
      </c>
      <c r="W61" t="s">
        <v>324</v>
      </c>
      <c r="X61" s="16">
        <v>1</v>
      </c>
      <c r="Y61" t="s">
        <v>20</v>
      </c>
      <c r="Z61" s="16">
        <v>2</v>
      </c>
      <c r="AA61" t="s">
        <v>15</v>
      </c>
      <c r="AB61" s="17">
        <f>ROUND(N61*P61*R61*T61/V61*X61/Z61,2)</f>
        <v>12.8</v>
      </c>
      <c r="AC61" t="s">
        <v>329</v>
      </c>
    </row>
    <row r="62" spans="1:29" x14ac:dyDescent="0.25">
      <c r="A62" t="s">
        <v>388</v>
      </c>
      <c r="C62" s="112">
        <f>ROUND(C57*C43*C44,2)</f>
        <v>75.98</v>
      </c>
      <c r="D62" t="s">
        <v>389</v>
      </c>
    </row>
    <row r="64" spans="1:29" x14ac:dyDescent="0.25">
      <c r="A64" t="s">
        <v>349</v>
      </c>
    </row>
    <row r="65" spans="1:28" x14ac:dyDescent="0.25">
      <c r="A65" t="s">
        <v>390</v>
      </c>
    </row>
    <row r="68" spans="1:28" x14ac:dyDescent="0.25">
      <c r="A68" s="24" t="s">
        <v>355</v>
      </c>
      <c r="C68" t="s">
        <v>372</v>
      </c>
    </row>
    <row r="70" spans="1:28" x14ac:dyDescent="0.25">
      <c r="A70" t="s">
        <v>356</v>
      </c>
      <c r="E70" s="16">
        <v>32</v>
      </c>
      <c r="F70" t="s">
        <v>290</v>
      </c>
    </row>
    <row r="71" spans="1:28" x14ac:dyDescent="0.25">
      <c r="A71" t="s">
        <v>357</v>
      </c>
      <c r="E71" s="16">
        <v>12</v>
      </c>
      <c r="F71" t="s">
        <v>290</v>
      </c>
    </row>
    <row r="72" spans="1:28" x14ac:dyDescent="0.25">
      <c r="A72" t="s">
        <v>362</v>
      </c>
      <c r="E72" s="16">
        <v>1</v>
      </c>
      <c r="I72" t="s">
        <v>363</v>
      </c>
    </row>
    <row r="73" spans="1:28" x14ac:dyDescent="0.25">
      <c r="A73" t="s">
        <v>364</v>
      </c>
      <c r="E73" s="16">
        <v>825</v>
      </c>
      <c r="F73" t="s">
        <v>365</v>
      </c>
      <c r="I73" t="s">
        <v>366</v>
      </c>
    </row>
    <row r="75" spans="1:28" x14ac:dyDescent="0.25">
      <c r="A75" t="s">
        <v>358</v>
      </c>
      <c r="C75" t="str">
        <f>CONCATENATE(M75,N75,O75,P75,Q75,R75,S75,T75,U75,V75,W75,X75,Y75,Z75,AA75,AB75,AC75,AD75,AE75,AF75)</f>
        <v>W / 12 = 32 / 12 = 2.67, Use: 2 Lanes</v>
      </c>
      <c r="M75" t="s">
        <v>359</v>
      </c>
      <c r="N75" t="s">
        <v>20</v>
      </c>
      <c r="O75">
        <f>E71</f>
        <v>12</v>
      </c>
      <c r="P75" t="s">
        <v>34</v>
      </c>
      <c r="Q75" s="16">
        <f>E70</f>
        <v>32</v>
      </c>
      <c r="R75" t="s">
        <v>20</v>
      </c>
      <c r="S75" s="16">
        <f>E71</f>
        <v>12</v>
      </c>
      <c r="T75" t="s">
        <v>34</v>
      </c>
      <c r="U75" s="111">
        <f>ROUND(Q75/S75, 2)</f>
        <v>2.67</v>
      </c>
      <c r="V75" t="s">
        <v>360</v>
      </c>
      <c r="W75" s="111">
        <f>INT(U75)</f>
        <v>2</v>
      </c>
      <c r="X75" t="s">
        <v>361</v>
      </c>
    </row>
    <row r="77" spans="1:28" x14ac:dyDescent="0.25">
      <c r="A77" t="s">
        <v>368</v>
      </c>
      <c r="C77" t="str">
        <f>CONCATENATE(M77,N77,O77,P77,Q77,R77,S77,T77,U77,V77,W77,X77,Y77,Z77,AA77,AB77,AC77,AD77,AE77,AF77)</f>
        <v>IF 100 &lt;̲ ADTT &lt;̲ 1000 = 0.95,  100 &lt;̲ 825 &lt;̲ 1000 = 0.95</v>
      </c>
      <c r="I77" t="s">
        <v>367</v>
      </c>
      <c r="M77" t="s">
        <v>369</v>
      </c>
      <c r="N77">
        <v>100</v>
      </c>
      <c r="O77" t="s">
        <v>370</v>
      </c>
      <c r="P77" t="s">
        <v>364</v>
      </c>
      <c r="Q77" t="s">
        <v>370</v>
      </c>
      <c r="R77">
        <v>1000</v>
      </c>
      <c r="S77" t="s">
        <v>34</v>
      </c>
      <c r="T77">
        <v>0.95</v>
      </c>
      <c r="U77" t="s">
        <v>371</v>
      </c>
      <c r="V77">
        <v>100</v>
      </c>
      <c r="W77" t="s">
        <v>370</v>
      </c>
      <c r="X77">
        <f>E73</f>
        <v>825</v>
      </c>
      <c r="Y77" t="s">
        <v>370</v>
      </c>
      <c r="Z77">
        <v>1000</v>
      </c>
      <c r="AA77" t="s">
        <v>34</v>
      </c>
      <c r="AB77">
        <v>0.95</v>
      </c>
    </row>
    <row r="79" spans="1:28" x14ac:dyDescent="0.25">
      <c r="A79" t="s">
        <v>373</v>
      </c>
    </row>
    <row r="80" spans="1:28" x14ac:dyDescent="0.25">
      <c r="A80" t="s">
        <v>374</v>
      </c>
    </row>
    <row r="81" spans="1:28" x14ac:dyDescent="0.25">
      <c r="A81" t="s">
        <v>375</v>
      </c>
    </row>
    <row r="83" spans="1:28" ht="18" x14ac:dyDescent="0.35">
      <c r="A83" t="s">
        <v>376</v>
      </c>
      <c r="B83" t="str">
        <f>CONCATENATE(L83,M83,N83,O83,P83,Q83,R83,S83,T83,U83,V83,W83,X83,Y83,Z83,AA83,AB83,AC83,AD83,AE83)</f>
        <v>0.25 ( 32k + 32k + 8k) (2) (1 ) ( 0.95 ) = 34.2k</v>
      </c>
      <c r="M83">
        <v>0.25</v>
      </c>
      <c r="N83" t="s">
        <v>377</v>
      </c>
      <c r="O83">
        <v>32</v>
      </c>
      <c r="P83" t="s">
        <v>378</v>
      </c>
      <c r="Q83">
        <v>32</v>
      </c>
      <c r="R83" t="s">
        <v>378</v>
      </c>
      <c r="S83">
        <v>8</v>
      </c>
      <c r="T83" t="s">
        <v>379</v>
      </c>
      <c r="U83">
        <v>2</v>
      </c>
      <c r="V83" t="s">
        <v>380</v>
      </c>
      <c r="W83">
        <v>1</v>
      </c>
      <c r="X83" t="s">
        <v>381</v>
      </c>
      <c r="Y83">
        <f>AB77</f>
        <v>0.95</v>
      </c>
      <c r="Z83" t="s">
        <v>382</v>
      </c>
      <c r="AA83">
        <f>M83*(O83+Q83+S83)*U83*W83*Y83</f>
        <v>34.199999999999996</v>
      </c>
      <c r="AB83" t="s">
        <v>196</v>
      </c>
    </row>
    <row r="84" spans="1:28" ht="18" x14ac:dyDescent="0.35">
      <c r="A84" t="s">
        <v>383</v>
      </c>
      <c r="B84" t="str">
        <f>CONCATENATE(L84,M84,N84,O84,P84,Q84,R84,S84,T84,U84,V84,W84,X84,Y84,Z84,AA84,AB84,AC84,AD84,AE84)</f>
        <v>0.05 ( 136.8k +  6.4k) (2) (1 ) ( 0.95 ) = 7.4k</v>
      </c>
      <c r="M84">
        <v>0.05</v>
      </c>
      <c r="N84" t="s">
        <v>377</v>
      </c>
      <c r="O84">
        <f>2*(O83+Q83+S83)*0.95</f>
        <v>136.79999999999998</v>
      </c>
      <c r="P84" t="s">
        <v>384</v>
      </c>
      <c r="Q84">
        <v>6.4</v>
      </c>
      <c r="R84" t="s">
        <v>379</v>
      </c>
      <c r="S84">
        <v>2</v>
      </c>
      <c r="T84" t="s">
        <v>380</v>
      </c>
      <c r="U84">
        <v>1</v>
      </c>
      <c r="V84" t="s">
        <v>381</v>
      </c>
      <c r="W84">
        <f>AB77</f>
        <v>0.95</v>
      </c>
      <c r="X84" t="s">
        <v>382</v>
      </c>
      <c r="Y84">
        <f>ROUND(M84*((O84+((Q84*S84*U84*W84)))),1)</f>
        <v>7.4</v>
      </c>
      <c r="Z84" t="s">
        <v>196</v>
      </c>
    </row>
    <row r="86" spans="1:28" x14ac:dyDescent="0.25">
      <c r="A86" t="s">
        <v>385</v>
      </c>
      <c r="B86">
        <f>IF(AA83&gt;Y84, AA83, Y84)</f>
        <v>34.199999999999996</v>
      </c>
      <c r="C86" t="s">
        <v>196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StemDesign_PartA</vt:lpstr>
      <vt:lpstr>StemDesign_Part B</vt:lpstr>
      <vt:lpstr>rebar table</vt:lpstr>
      <vt:lpstr>Calcs</vt:lpstr>
      <vt:lpstr>Bs</vt:lpstr>
      <vt:lpstr>db</vt:lpstr>
      <vt:lpstr>'StemDesign_Part B'!Print_Area</vt:lpstr>
      <vt:lpstr>StemDesign_PartA!Print_Area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Trivoli</dc:creator>
  <cp:lastModifiedBy>Clark, Michael</cp:lastModifiedBy>
  <cp:lastPrinted>2024-10-22T16:10:35Z</cp:lastPrinted>
  <dcterms:created xsi:type="dcterms:W3CDTF">2014-06-13T11:53:25Z</dcterms:created>
  <dcterms:modified xsi:type="dcterms:W3CDTF">2024-10-22T17:27:42Z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